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s20\Downloads\"/>
    </mc:Choice>
  </mc:AlternateContent>
  <xr:revisionPtr revIDLastSave="0" documentId="13_ncr:1_{1264D452-E908-45C8-BE76-267015CA82E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ashboard" sheetId="1" r:id="rId1"/>
    <sheet name="Lịch" sheetId="2" r:id="rId2"/>
    <sheet name="Data" sheetId="3" r:id="rId3"/>
    <sheet name="Danh mục" sheetId="4" r:id="rId4"/>
    <sheet name="Cài đặt" sheetId="5" r:id="rId5"/>
    <sheet name="Hướng dẫn" sheetId="6" r:id="rId6"/>
  </sheets>
  <definedNames>
    <definedName name="_xlnm._FilterDatabase" localSheetId="2" hidden="1">Data!$A$6:$Z$206</definedName>
    <definedName name="_xlnm.Print_Area" localSheetId="0">Dashboard!$A$1:$R$90</definedName>
  </definedNames>
  <calcPr calcId="191029" fullCalcOnLoad="1" iterateDelta="1E-4"/>
</workbook>
</file>

<file path=xl/calcChain.xml><?xml version="1.0" encoding="utf-8"?>
<calcChain xmlns="http://schemas.openxmlformats.org/spreadsheetml/2006/main">
  <c r="C2" i="6" l="1"/>
  <c r="C2" i="5"/>
  <c r="C2" i="4"/>
  <c r="AA206" i="3"/>
  <c r="X206" i="3"/>
  <c r="W206" i="3"/>
  <c r="V206" i="3"/>
  <c r="U206" i="3"/>
  <c r="Q206" i="3"/>
  <c r="I206" i="3"/>
  <c r="Z206" i="3" s="1"/>
  <c r="G206" i="3"/>
  <c r="A206" i="3"/>
  <c r="AA205" i="3"/>
  <c r="X205" i="3"/>
  <c r="W205" i="3"/>
  <c r="V205" i="3"/>
  <c r="U205" i="3"/>
  <c r="Q205" i="3"/>
  <c r="G205" i="3"/>
  <c r="I205" i="3" s="1"/>
  <c r="Z205" i="3" s="1"/>
  <c r="A205" i="3"/>
  <c r="AA204" i="3"/>
  <c r="X204" i="3"/>
  <c r="W204" i="3"/>
  <c r="V204" i="3"/>
  <c r="U204" i="3"/>
  <c r="Q204" i="3"/>
  <c r="I204" i="3"/>
  <c r="Z204" i="3" s="1"/>
  <c r="G204" i="3"/>
  <c r="A204" i="3"/>
  <c r="AA203" i="3"/>
  <c r="X203" i="3"/>
  <c r="W203" i="3"/>
  <c r="V203" i="3"/>
  <c r="U203" i="3"/>
  <c r="Q203" i="3"/>
  <c r="G203" i="3"/>
  <c r="I203" i="3" s="1"/>
  <c r="Z203" i="3" s="1"/>
  <c r="A203" i="3"/>
  <c r="AA202" i="3"/>
  <c r="X202" i="3"/>
  <c r="W202" i="3"/>
  <c r="V202" i="3"/>
  <c r="U202" i="3"/>
  <c r="Q202" i="3"/>
  <c r="I202" i="3"/>
  <c r="Z202" i="3" s="1"/>
  <c r="G202" i="3"/>
  <c r="A202" i="3"/>
  <c r="AA201" i="3"/>
  <c r="X201" i="3"/>
  <c r="W201" i="3"/>
  <c r="V201" i="3"/>
  <c r="U201" i="3"/>
  <c r="Q201" i="3"/>
  <c r="G201" i="3"/>
  <c r="I201" i="3" s="1"/>
  <c r="Z201" i="3" s="1"/>
  <c r="A201" i="3"/>
  <c r="AA200" i="3"/>
  <c r="X200" i="3"/>
  <c r="W200" i="3"/>
  <c r="V200" i="3"/>
  <c r="U200" i="3"/>
  <c r="Q200" i="3"/>
  <c r="I200" i="3"/>
  <c r="Z200" i="3" s="1"/>
  <c r="G200" i="3"/>
  <c r="A200" i="3"/>
  <c r="AA199" i="3"/>
  <c r="X199" i="3"/>
  <c r="W199" i="3"/>
  <c r="V199" i="3"/>
  <c r="U199" i="3"/>
  <c r="Q199" i="3"/>
  <c r="G199" i="3"/>
  <c r="I199" i="3" s="1"/>
  <c r="Z199" i="3" s="1"/>
  <c r="A199" i="3"/>
  <c r="AA198" i="3"/>
  <c r="X198" i="3"/>
  <c r="W198" i="3"/>
  <c r="V198" i="3"/>
  <c r="U198" i="3"/>
  <c r="Q198" i="3"/>
  <c r="I198" i="3"/>
  <c r="Z198" i="3" s="1"/>
  <c r="G198" i="3"/>
  <c r="A198" i="3"/>
  <c r="AA197" i="3"/>
  <c r="X197" i="3"/>
  <c r="W197" i="3"/>
  <c r="V197" i="3"/>
  <c r="U197" i="3"/>
  <c r="Q197" i="3"/>
  <c r="G197" i="3"/>
  <c r="I197" i="3" s="1"/>
  <c r="Z197" i="3" s="1"/>
  <c r="A197" i="3"/>
  <c r="AA196" i="3"/>
  <c r="X196" i="3"/>
  <c r="W196" i="3"/>
  <c r="V196" i="3"/>
  <c r="U196" i="3"/>
  <c r="Q196" i="3"/>
  <c r="I196" i="3"/>
  <c r="Z196" i="3" s="1"/>
  <c r="G196" i="3"/>
  <c r="A196" i="3"/>
  <c r="AA195" i="3"/>
  <c r="X195" i="3"/>
  <c r="W195" i="3"/>
  <c r="V195" i="3"/>
  <c r="U195" i="3"/>
  <c r="Q195" i="3"/>
  <c r="G195" i="3"/>
  <c r="I195" i="3" s="1"/>
  <c r="Z195" i="3" s="1"/>
  <c r="A195" i="3"/>
  <c r="AA194" i="3"/>
  <c r="X194" i="3"/>
  <c r="W194" i="3"/>
  <c r="V194" i="3"/>
  <c r="U194" i="3"/>
  <c r="Q194" i="3"/>
  <c r="I194" i="3"/>
  <c r="Z194" i="3" s="1"/>
  <c r="G194" i="3"/>
  <c r="A194" i="3"/>
  <c r="AA193" i="3"/>
  <c r="X193" i="3"/>
  <c r="W193" i="3"/>
  <c r="V193" i="3"/>
  <c r="U193" i="3"/>
  <c r="Q193" i="3"/>
  <c r="G193" i="3"/>
  <c r="I193" i="3" s="1"/>
  <c r="Z193" i="3" s="1"/>
  <c r="A193" i="3"/>
  <c r="AA192" i="3"/>
  <c r="X192" i="3"/>
  <c r="W192" i="3"/>
  <c r="V192" i="3"/>
  <c r="U192" i="3"/>
  <c r="Q192" i="3"/>
  <c r="I192" i="3"/>
  <c r="Z192" i="3" s="1"/>
  <c r="G192" i="3"/>
  <c r="A192" i="3"/>
  <c r="AA191" i="3"/>
  <c r="X191" i="3"/>
  <c r="W191" i="3"/>
  <c r="V191" i="3"/>
  <c r="U191" i="3"/>
  <c r="Q191" i="3"/>
  <c r="G191" i="3"/>
  <c r="I191" i="3" s="1"/>
  <c r="Z191" i="3" s="1"/>
  <c r="A191" i="3"/>
  <c r="AA190" i="3"/>
  <c r="X190" i="3"/>
  <c r="W190" i="3"/>
  <c r="V190" i="3"/>
  <c r="U190" i="3"/>
  <c r="Q190" i="3"/>
  <c r="I190" i="3"/>
  <c r="Z190" i="3" s="1"/>
  <c r="G190" i="3"/>
  <c r="A190" i="3"/>
  <c r="AA189" i="3"/>
  <c r="X189" i="3"/>
  <c r="W189" i="3"/>
  <c r="V189" i="3"/>
  <c r="U189" i="3"/>
  <c r="Q189" i="3"/>
  <c r="G189" i="3"/>
  <c r="I189" i="3" s="1"/>
  <c r="Z189" i="3" s="1"/>
  <c r="A189" i="3"/>
  <c r="AA188" i="3"/>
  <c r="X188" i="3"/>
  <c r="W188" i="3"/>
  <c r="V188" i="3"/>
  <c r="U188" i="3"/>
  <c r="Q188" i="3"/>
  <c r="I188" i="3"/>
  <c r="Z188" i="3" s="1"/>
  <c r="G188" i="3"/>
  <c r="A188" i="3"/>
  <c r="AA187" i="3"/>
  <c r="X187" i="3"/>
  <c r="W187" i="3"/>
  <c r="V187" i="3"/>
  <c r="U187" i="3"/>
  <c r="Q187" i="3"/>
  <c r="G187" i="3"/>
  <c r="I187" i="3" s="1"/>
  <c r="Z187" i="3" s="1"/>
  <c r="A187" i="3"/>
  <c r="AA186" i="3"/>
  <c r="X186" i="3"/>
  <c r="W186" i="3"/>
  <c r="V186" i="3"/>
  <c r="U186" i="3"/>
  <c r="Q186" i="3"/>
  <c r="I186" i="3"/>
  <c r="Z186" i="3" s="1"/>
  <c r="G186" i="3"/>
  <c r="A186" i="3"/>
  <c r="AA185" i="3"/>
  <c r="X185" i="3"/>
  <c r="W185" i="3"/>
  <c r="V185" i="3"/>
  <c r="U185" i="3"/>
  <c r="Q185" i="3"/>
  <c r="G185" i="3"/>
  <c r="I185" i="3" s="1"/>
  <c r="Z185" i="3" s="1"/>
  <c r="A185" i="3"/>
  <c r="AA184" i="3"/>
  <c r="X184" i="3"/>
  <c r="W184" i="3"/>
  <c r="V184" i="3"/>
  <c r="U184" i="3"/>
  <c r="Q184" i="3"/>
  <c r="I184" i="3"/>
  <c r="Z184" i="3" s="1"/>
  <c r="G184" i="3"/>
  <c r="A184" i="3"/>
  <c r="AA183" i="3"/>
  <c r="X183" i="3"/>
  <c r="W183" i="3"/>
  <c r="V183" i="3"/>
  <c r="U183" i="3"/>
  <c r="Q183" i="3"/>
  <c r="G183" i="3"/>
  <c r="I183" i="3" s="1"/>
  <c r="Z183" i="3" s="1"/>
  <c r="A183" i="3"/>
  <c r="AA182" i="3"/>
  <c r="X182" i="3"/>
  <c r="W182" i="3"/>
  <c r="V182" i="3"/>
  <c r="U182" i="3"/>
  <c r="Q182" i="3"/>
  <c r="I182" i="3"/>
  <c r="Z182" i="3" s="1"/>
  <c r="G182" i="3"/>
  <c r="A182" i="3"/>
  <c r="AA181" i="3"/>
  <c r="X181" i="3"/>
  <c r="W181" i="3"/>
  <c r="V181" i="3"/>
  <c r="U181" i="3"/>
  <c r="Q181" i="3"/>
  <c r="G181" i="3"/>
  <c r="I181" i="3" s="1"/>
  <c r="Z181" i="3" s="1"/>
  <c r="A181" i="3"/>
  <c r="AA180" i="3"/>
  <c r="X180" i="3"/>
  <c r="W180" i="3"/>
  <c r="V180" i="3"/>
  <c r="U180" i="3"/>
  <c r="Q180" i="3"/>
  <c r="I180" i="3"/>
  <c r="Z180" i="3" s="1"/>
  <c r="G180" i="3"/>
  <c r="A180" i="3"/>
  <c r="AA179" i="3"/>
  <c r="Z179" i="3"/>
  <c r="X179" i="3"/>
  <c r="W179" i="3"/>
  <c r="V179" i="3"/>
  <c r="U179" i="3"/>
  <c r="Q179" i="3"/>
  <c r="G179" i="3"/>
  <c r="I179" i="3" s="1"/>
  <c r="A179" i="3"/>
  <c r="AA178" i="3"/>
  <c r="X178" i="3"/>
  <c r="W178" i="3"/>
  <c r="V178" i="3"/>
  <c r="U178" i="3"/>
  <c r="Q178" i="3"/>
  <c r="I178" i="3"/>
  <c r="Z178" i="3" s="1"/>
  <c r="G178" i="3"/>
  <c r="A178" i="3"/>
  <c r="AA177" i="3"/>
  <c r="X177" i="3"/>
  <c r="W177" i="3"/>
  <c r="V177" i="3"/>
  <c r="U177" i="3"/>
  <c r="Q177" i="3"/>
  <c r="G177" i="3"/>
  <c r="I177" i="3" s="1"/>
  <c r="Z177" i="3" s="1"/>
  <c r="A177" i="3"/>
  <c r="AA176" i="3"/>
  <c r="X176" i="3"/>
  <c r="W176" i="3"/>
  <c r="V176" i="3"/>
  <c r="U176" i="3"/>
  <c r="Q176" i="3"/>
  <c r="I176" i="3"/>
  <c r="Z176" i="3" s="1"/>
  <c r="G176" i="3"/>
  <c r="A176" i="3"/>
  <c r="AA175" i="3"/>
  <c r="Z175" i="3"/>
  <c r="X175" i="3"/>
  <c r="W175" i="3"/>
  <c r="V175" i="3"/>
  <c r="U175" i="3"/>
  <c r="Q175" i="3"/>
  <c r="G175" i="3"/>
  <c r="I175" i="3" s="1"/>
  <c r="A175" i="3"/>
  <c r="AA174" i="3"/>
  <c r="X174" i="3"/>
  <c r="W174" i="3"/>
  <c r="V174" i="3"/>
  <c r="U174" i="3"/>
  <c r="Q174" i="3"/>
  <c r="I174" i="3"/>
  <c r="Z174" i="3" s="1"/>
  <c r="G174" i="3"/>
  <c r="A174" i="3"/>
  <c r="AA173" i="3"/>
  <c r="X173" i="3"/>
  <c r="W173" i="3"/>
  <c r="V173" i="3"/>
  <c r="U173" i="3"/>
  <c r="Q173" i="3"/>
  <c r="G173" i="3"/>
  <c r="I173" i="3" s="1"/>
  <c r="Z173" i="3" s="1"/>
  <c r="A173" i="3"/>
  <c r="AA172" i="3"/>
  <c r="X172" i="3"/>
  <c r="W172" i="3"/>
  <c r="V172" i="3"/>
  <c r="U172" i="3"/>
  <c r="Q172" i="3"/>
  <c r="I172" i="3"/>
  <c r="Z172" i="3" s="1"/>
  <c r="G172" i="3"/>
  <c r="A172" i="3"/>
  <c r="AA171" i="3"/>
  <c r="Z171" i="3"/>
  <c r="X171" i="3"/>
  <c r="W171" i="3"/>
  <c r="V171" i="3"/>
  <c r="U171" i="3"/>
  <c r="Q171" i="3"/>
  <c r="G171" i="3"/>
  <c r="I171" i="3" s="1"/>
  <c r="A171" i="3"/>
  <c r="AA170" i="3"/>
  <c r="X170" i="3"/>
  <c r="W170" i="3"/>
  <c r="V170" i="3"/>
  <c r="U170" i="3"/>
  <c r="Q170" i="3"/>
  <c r="I170" i="3"/>
  <c r="Z170" i="3" s="1"/>
  <c r="G170" i="3"/>
  <c r="A170" i="3"/>
  <c r="AA169" i="3"/>
  <c r="X169" i="3"/>
  <c r="W169" i="3"/>
  <c r="V169" i="3"/>
  <c r="U169" i="3"/>
  <c r="Q169" i="3"/>
  <c r="G169" i="3"/>
  <c r="I169" i="3" s="1"/>
  <c r="Z169" i="3" s="1"/>
  <c r="A169" i="3"/>
  <c r="AA168" i="3"/>
  <c r="X168" i="3"/>
  <c r="W168" i="3"/>
  <c r="V168" i="3"/>
  <c r="U168" i="3"/>
  <c r="Q168" i="3"/>
  <c r="I168" i="3"/>
  <c r="Z168" i="3" s="1"/>
  <c r="G168" i="3"/>
  <c r="A168" i="3"/>
  <c r="AA167" i="3"/>
  <c r="Z167" i="3"/>
  <c r="X167" i="3"/>
  <c r="W167" i="3"/>
  <c r="V167" i="3"/>
  <c r="U167" i="3"/>
  <c r="Q167" i="3"/>
  <c r="G167" i="3"/>
  <c r="I167" i="3" s="1"/>
  <c r="A167" i="3"/>
  <c r="AA166" i="3"/>
  <c r="X166" i="3"/>
  <c r="W166" i="3"/>
  <c r="V166" i="3"/>
  <c r="U166" i="3"/>
  <c r="Q166" i="3"/>
  <c r="I166" i="3"/>
  <c r="Z166" i="3" s="1"/>
  <c r="G166" i="3"/>
  <c r="A166" i="3"/>
  <c r="AA165" i="3"/>
  <c r="X165" i="3"/>
  <c r="W165" i="3"/>
  <c r="V165" i="3"/>
  <c r="U165" i="3"/>
  <c r="Q165" i="3"/>
  <c r="G165" i="3"/>
  <c r="I165" i="3" s="1"/>
  <c r="Z165" i="3" s="1"/>
  <c r="A165" i="3"/>
  <c r="AA164" i="3"/>
  <c r="X164" i="3"/>
  <c r="W164" i="3"/>
  <c r="V164" i="3"/>
  <c r="U164" i="3"/>
  <c r="Q164" i="3"/>
  <c r="I164" i="3"/>
  <c r="Z164" i="3" s="1"/>
  <c r="G164" i="3"/>
  <c r="A164" i="3"/>
  <c r="AA163" i="3"/>
  <c r="Z163" i="3"/>
  <c r="X163" i="3"/>
  <c r="W163" i="3"/>
  <c r="V163" i="3"/>
  <c r="U163" i="3"/>
  <c r="Q163" i="3"/>
  <c r="G163" i="3"/>
  <c r="I163" i="3" s="1"/>
  <c r="A163" i="3"/>
  <c r="AA162" i="3"/>
  <c r="X162" i="3"/>
  <c r="W162" i="3"/>
  <c r="V162" i="3"/>
  <c r="U162" i="3"/>
  <c r="Q162" i="3"/>
  <c r="I162" i="3"/>
  <c r="Z162" i="3" s="1"/>
  <c r="G162" i="3"/>
  <c r="A162" i="3"/>
  <c r="AA161" i="3"/>
  <c r="X161" i="3"/>
  <c r="W161" i="3"/>
  <c r="V161" i="3"/>
  <c r="U161" i="3"/>
  <c r="Q161" i="3"/>
  <c r="G161" i="3"/>
  <c r="I161" i="3" s="1"/>
  <c r="Z161" i="3" s="1"/>
  <c r="A161" i="3"/>
  <c r="AA160" i="3"/>
  <c r="X160" i="3"/>
  <c r="W160" i="3"/>
  <c r="V160" i="3"/>
  <c r="U160" i="3"/>
  <c r="Q160" i="3"/>
  <c r="I160" i="3"/>
  <c r="Z160" i="3" s="1"/>
  <c r="G160" i="3"/>
  <c r="A160" i="3"/>
  <c r="AA159" i="3"/>
  <c r="Z159" i="3"/>
  <c r="X159" i="3"/>
  <c r="W159" i="3"/>
  <c r="V159" i="3"/>
  <c r="U159" i="3"/>
  <c r="Q159" i="3"/>
  <c r="G159" i="3"/>
  <c r="I159" i="3" s="1"/>
  <c r="A159" i="3"/>
  <c r="AA158" i="3"/>
  <c r="X158" i="3"/>
  <c r="W158" i="3"/>
  <c r="V158" i="3"/>
  <c r="U158" i="3"/>
  <c r="Q158" i="3"/>
  <c r="I158" i="3"/>
  <c r="Z158" i="3" s="1"/>
  <c r="G158" i="3"/>
  <c r="A158" i="3"/>
  <c r="AA157" i="3"/>
  <c r="X157" i="3"/>
  <c r="W157" i="3"/>
  <c r="V157" i="3"/>
  <c r="U157" i="3"/>
  <c r="Q157" i="3"/>
  <c r="G157" i="3"/>
  <c r="I157" i="3" s="1"/>
  <c r="Z157" i="3" s="1"/>
  <c r="A157" i="3"/>
  <c r="AA156" i="3"/>
  <c r="X156" i="3"/>
  <c r="W156" i="3"/>
  <c r="V156" i="3"/>
  <c r="U156" i="3"/>
  <c r="Q156" i="3"/>
  <c r="I156" i="3"/>
  <c r="Z156" i="3" s="1"/>
  <c r="G156" i="3"/>
  <c r="A156" i="3"/>
  <c r="AA155" i="3"/>
  <c r="Z155" i="3"/>
  <c r="X155" i="3"/>
  <c r="W155" i="3"/>
  <c r="V155" i="3"/>
  <c r="U155" i="3"/>
  <c r="Q155" i="3"/>
  <c r="G155" i="3"/>
  <c r="I155" i="3" s="1"/>
  <c r="A155" i="3"/>
  <c r="AA154" i="3"/>
  <c r="X154" i="3"/>
  <c r="W154" i="3"/>
  <c r="V154" i="3"/>
  <c r="U154" i="3"/>
  <c r="Q154" i="3"/>
  <c r="I154" i="3"/>
  <c r="Z154" i="3" s="1"/>
  <c r="G154" i="3"/>
  <c r="A154" i="3"/>
  <c r="AA153" i="3"/>
  <c r="X153" i="3"/>
  <c r="W153" i="3"/>
  <c r="V153" i="3"/>
  <c r="U153" i="3"/>
  <c r="Q153" i="3"/>
  <c r="G153" i="3"/>
  <c r="I153" i="3" s="1"/>
  <c r="Z153" i="3" s="1"/>
  <c r="A153" i="3"/>
  <c r="AA152" i="3"/>
  <c r="X152" i="3"/>
  <c r="W152" i="3"/>
  <c r="V152" i="3"/>
  <c r="U152" i="3"/>
  <c r="Q152" i="3"/>
  <c r="I152" i="3"/>
  <c r="Z152" i="3" s="1"/>
  <c r="G152" i="3"/>
  <c r="A152" i="3"/>
  <c r="AA151" i="3"/>
  <c r="Z151" i="3"/>
  <c r="X151" i="3"/>
  <c r="W151" i="3"/>
  <c r="V151" i="3"/>
  <c r="U151" i="3"/>
  <c r="Q151" i="3"/>
  <c r="G151" i="3"/>
  <c r="I151" i="3" s="1"/>
  <c r="A151" i="3"/>
  <c r="AA150" i="3"/>
  <c r="X150" i="3"/>
  <c r="W150" i="3"/>
  <c r="V150" i="3"/>
  <c r="U150" i="3"/>
  <c r="Q150" i="3"/>
  <c r="I150" i="3"/>
  <c r="Z150" i="3" s="1"/>
  <c r="G150" i="3"/>
  <c r="A150" i="3"/>
  <c r="AA149" i="3"/>
  <c r="X149" i="3"/>
  <c r="W149" i="3"/>
  <c r="V149" i="3"/>
  <c r="U149" i="3"/>
  <c r="Q149" i="3"/>
  <c r="G149" i="3"/>
  <c r="I149" i="3" s="1"/>
  <c r="Z149" i="3" s="1"/>
  <c r="A149" i="3"/>
  <c r="AA148" i="3"/>
  <c r="X148" i="3"/>
  <c r="W148" i="3"/>
  <c r="V148" i="3"/>
  <c r="U148" i="3"/>
  <c r="Q148" i="3"/>
  <c r="I148" i="3"/>
  <c r="Z148" i="3" s="1"/>
  <c r="G148" i="3"/>
  <c r="A148" i="3"/>
  <c r="AA147" i="3"/>
  <c r="Z147" i="3"/>
  <c r="X147" i="3"/>
  <c r="W147" i="3"/>
  <c r="V147" i="3"/>
  <c r="U147" i="3"/>
  <c r="Q147" i="3"/>
  <c r="G147" i="3"/>
  <c r="I147" i="3" s="1"/>
  <c r="A147" i="3"/>
  <c r="AA146" i="3"/>
  <c r="X146" i="3"/>
  <c r="W146" i="3"/>
  <c r="V146" i="3"/>
  <c r="U146" i="3"/>
  <c r="Q146" i="3"/>
  <c r="I146" i="3"/>
  <c r="Z146" i="3" s="1"/>
  <c r="G146" i="3"/>
  <c r="A146" i="3"/>
  <c r="AA145" i="3"/>
  <c r="X145" i="3"/>
  <c r="W145" i="3"/>
  <c r="V145" i="3"/>
  <c r="U145" i="3"/>
  <c r="Q145" i="3"/>
  <c r="G145" i="3"/>
  <c r="I145" i="3" s="1"/>
  <c r="Z145" i="3" s="1"/>
  <c r="A145" i="3"/>
  <c r="AA144" i="3"/>
  <c r="X144" i="3"/>
  <c r="W144" i="3"/>
  <c r="V144" i="3"/>
  <c r="U144" i="3"/>
  <c r="Q144" i="3"/>
  <c r="I144" i="3"/>
  <c r="Z144" i="3" s="1"/>
  <c r="G144" i="3"/>
  <c r="A144" i="3"/>
  <c r="AA143" i="3"/>
  <c r="Z143" i="3"/>
  <c r="X143" i="3"/>
  <c r="W143" i="3"/>
  <c r="V143" i="3"/>
  <c r="U143" i="3"/>
  <c r="Q143" i="3"/>
  <c r="G143" i="3"/>
  <c r="I143" i="3" s="1"/>
  <c r="A143" i="3"/>
  <c r="AA142" i="3"/>
  <c r="X142" i="3"/>
  <c r="W142" i="3"/>
  <c r="V142" i="3"/>
  <c r="U142" i="3"/>
  <c r="Q142" i="3"/>
  <c r="I142" i="3"/>
  <c r="Z142" i="3" s="1"/>
  <c r="G142" i="3"/>
  <c r="A142" i="3"/>
  <c r="AA141" i="3"/>
  <c r="X141" i="3"/>
  <c r="W141" i="3"/>
  <c r="V141" i="3"/>
  <c r="U141" i="3"/>
  <c r="Q141" i="3"/>
  <c r="G141" i="3"/>
  <c r="I141" i="3" s="1"/>
  <c r="Z141" i="3" s="1"/>
  <c r="A141" i="3"/>
  <c r="AA140" i="3"/>
  <c r="X140" i="3"/>
  <c r="W140" i="3"/>
  <c r="V140" i="3"/>
  <c r="U140" i="3"/>
  <c r="Q140" i="3"/>
  <c r="I140" i="3"/>
  <c r="Z140" i="3" s="1"/>
  <c r="G140" i="3"/>
  <c r="A140" i="3"/>
  <c r="AA139" i="3"/>
  <c r="Z139" i="3"/>
  <c r="X139" i="3"/>
  <c r="W139" i="3"/>
  <c r="V139" i="3"/>
  <c r="U139" i="3"/>
  <c r="Q139" i="3"/>
  <c r="G139" i="3"/>
  <c r="I139" i="3" s="1"/>
  <c r="A139" i="3"/>
  <c r="AA138" i="3"/>
  <c r="X138" i="3"/>
  <c r="W138" i="3"/>
  <c r="V138" i="3"/>
  <c r="U138" i="3"/>
  <c r="Q138" i="3"/>
  <c r="I138" i="3"/>
  <c r="Z138" i="3" s="1"/>
  <c r="G138" i="3"/>
  <c r="A138" i="3"/>
  <c r="AA137" i="3"/>
  <c r="X137" i="3"/>
  <c r="W137" i="3"/>
  <c r="V137" i="3"/>
  <c r="U137" i="3"/>
  <c r="Q137" i="3"/>
  <c r="G137" i="3"/>
  <c r="I137" i="3" s="1"/>
  <c r="Z137" i="3" s="1"/>
  <c r="A137" i="3"/>
  <c r="AA136" i="3"/>
  <c r="X136" i="3"/>
  <c r="W136" i="3"/>
  <c r="V136" i="3"/>
  <c r="U136" i="3"/>
  <c r="Q136" i="3"/>
  <c r="I136" i="3"/>
  <c r="Z136" i="3" s="1"/>
  <c r="G136" i="3"/>
  <c r="A136" i="3"/>
  <c r="AA135" i="3"/>
  <c r="Z135" i="3"/>
  <c r="X135" i="3"/>
  <c r="W135" i="3"/>
  <c r="V135" i="3"/>
  <c r="U135" i="3"/>
  <c r="Q135" i="3"/>
  <c r="G135" i="3"/>
  <c r="I135" i="3" s="1"/>
  <c r="A135" i="3"/>
  <c r="AA134" i="3"/>
  <c r="X134" i="3"/>
  <c r="W134" i="3"/>
  <c r="V134" i="3"/>
  <c r="U134" i="3"/>
  <c r="Q134" i="3"/>
  <c r="I134" i="3"/>
  <c r="Z134" i="3" s="1"/>
  <c r="G134" i="3"/>
  <c r="A134" i="3"/>
  <c r="AA133" i="3"/>
  <c r="X133" i="3"/>
  <c r="W133" i="3"/>
  <c r="V133" i="3"/>
  <c r="U133" i="3"/>
  <c r="Q133" i="3"/>
  <c r="G133" i="3"/>
  <c r="I133" i="3" s="1"/>
  <c r="Z133" i="3" s="1"/>
  <c r="A133" i="3"/>
  <c r="AA132" i="3"/>
  <c r="X132" i="3"/>
  <c r="W132" i="3"/>
  <c r="V132" i="3"/>
  <c r="U132" i="3"/>
  <c r="Q132" i="3"/>
  <c r="I132" i="3"/>
  <c r="Z132" i="3" s="1"/>
  <c r="G132" i="3"/>
  <c r="A132" i="3"/>
  <c r="AA131" i="3"/>
  <c r="Z131" i="3"/>
  <c r="X131" i="3"/>
  <c r="W131" i="3"/>
  <c r="V131" i="3"/>
  <c r="U131" i="3"/>
  <c r="Q131" i="3"/>
  <c r="G131" i="3"/>
  <c r="I131" i="3" s="1"/>
  <c r="A131" i="3"/>
  <c r="AA130" i="3"/>
  <c r="X130" i="3"/>
  <c r="W130" i="3"/>
  <c r="V130" i="3"/>
  <c r="U130" i="3"/>
  <c r="Q130" i="3"/>
  <c r="I130" i="3"/>
  <c r="Z130" i="3" s="1"/>
  <c r="G130" i="3"/>
  <c r="A130" i="3"/>
  <c r="AA129" i="3"/>
  <c r="X129" i="3"/>
  <c r="W129" i="3"/>
  <c r="V129" i="3"/>
  <c r="U129" i="3"/>
  <c r="Q129" i="3"/>
  <c r="G129" i="3"/>
  <c r="I129" i="3" s="1"/>
  <c r="Z129" i="3" s="1"/>
  <c r="A129" i="3"/>
  <c r="AA128" i="3"/>
  <c r="X128" i="3"/>
  <c r="W128" i="3"/>
  <c r="V128" i="3"/>
  <c r="U128" i="3"/>
  <c r="Q128" i="3"/>
  <c r="I128" i="3"/>
  <c r="Z128" i="3" s="1"/>
  <c r="G128" i="3"/>
  <c r="A128" i="3"/>
  <c r="AA127" i="3"/>
  <c r="Z127" i="3"/>
  <c r="X127" i="3"/>
  <c r="W127" i="3"/>
  <c r="V127" i="3"/>
  <c r="U127" i="3"/>
  <c r="Q127" i="3"/>
  <c r="G127" i="3"/>
  <c r="I127" i="3" s="1"/>
  <c r="A127" i="3"/>
  <c r="AA126" i="3"/>
  <c r="X126" i="3"/>
  <c r="W126" i="3"/>
  <c r="V126" i="3"/>
  <c r="U126" i="3"/>
  <c r="Q126" i="3"/>
  <c r="I126" i="3"/>
  <c r="Z126" i="3" s="1"/>
  <c r="G126" i="3"/>
  <c r="A126" i="3"/>
  <c r="AA125" i="3"/>
  <c r="X125" i="3"/>
  <c r="W125" i="3"/>
  <c r="V125" i="3"/>
  <c r="U125" i="3"/>
  <c r="Q125" i="3"/>
  <c r="G125" i="3"/>
  <c r="I125" i="3" s="1"/>
  <c r="Z125" i="3" s="1"/>
  <c r="A125" i="3"/>
  <c r="AA124" i="3"/>
  <c r="X124" i="3"/>
  <c r="W124" i="3"/>
  <c r="V124" i="3"/>
  <c r="U124" i="3"/>
  <c r="Q124" i="3"/>
  <c r="I124" i="3"/>
  <c r="Z124" i="3" s="1"/>
  <c r="G124" i="3"/>
  <c r="A124" i="3"/>
  <c r="AA123" i="3"/>
  <c r="Z123" i="3"/>
  <c r="X123" i="3"/>
  <c r="W123" i="3"/>
  <c r="V123" i="3"/>
  <c r="U123" i="3"/>
  <c r="Q123" i="3"/>
  <c r="G123" i="3"/>
  <c r="I123" i="3" s="1"/>
  <c r="A123" i="3"/>
  <c r="AA122" i="3"/>
  <c r="X122" i="3"/>
  <c r="W122" i="3"/>
  <c r="V122" i="3"/>
  <c r="U122" i="3"/>
  <c r="Q122" i="3"/>
  <c r="I122" i="3"/>
  <c r="Z122" i="3" s="1"/>
  <c r="G122" i="3"/>
  <c r="A122" i="3"/>
  <c r="AA121" i="3"/>
  <c r="X121" i="3"/>
  <c r="W121" i="3"/>
  <c r="V121" i="3"/>
  <c r="U121" i="3"/>
  <c r="Q121" i="3"/>
  <c r="I121" i="3"/>
  <c r="Z121" i="3" s="1"/>
  <c r="G121" i="3"/>
  <c r="A121" i="3"/>
  <c r="AA120" i="3"/>
  <c r="Z120" i="3"/>
  <c r="X120" i="3"/>
  <c r="W120" i="3"/>
  <c r="V120" i="3"/>
  <c r="U120" i="3"/>
  <c r="Q120" i="3"/>
  <c r="I120" i="3"/>
  <c r="G120" i="3"/>
  <c r="A120" i="3"/>
  <c r="AA119" i="3"/>
  <c r="X119" i="3"/>
  <c r="W119" i="3"/>
  <c r="V119" i="3"/>
  <c r="U119" i="3"/>
  <c r="Q119" i="3"/>
  <c r="I119" i="3"/>
  <c r="Z119" i="3" s="1"/>
  <c r="G119" i="3"/>
  <c r="A119" i="3"/>
  <c r="AA118" i="3"/>
  <c r="Z118" i="3"/>
  <c r="X118" i="3"/>
  <c r="W118" i="3"/>
  <c r="V118" i="3"/>
  <c r="U118" i="3"/>
  <c r="Q118" i="3"/>
  <c r="I118" i="3"/>
  <c r="G118" i="3"/>
  <c r="A118" i="3"/>
  <c r="AA117" i="3"/>
  <c r="X117" i="3"/>
  <c r="W117" i="3"/>
  <c r="V117" i="3"/>
  <c r="U117" i="3"/>
  <c r="Q117" i="3"/>
  <c r="I117" i="3"/>
  <c r="Z117" i="3" s="1"/>
  <c r="G117" i="3"/>
  <c r="A117" i="3"/>
  <c r="AA116" i="3"/>
  <c r="Z116" i="3"/>
  <c r="X116" i="3"/>
  <c r="W116" i="3"/>
  <c r="V116" i="3"/>
  <c r="U116" i="3"/>
  <c r="Q116" i="3"/>
  <c r="I116" i="3"/>
  <c r="G116" i="3"/>
  <c r="A116" i="3"/>
  <c r="AA115" i="3"/>
  <c r="X115" i="3"/>
  <c r="W115" i="3"/>
  <c r="V115" i="3"/>
  <c r="U115" i="3"/>
  <c r="Q115" i="3"/>
  <c r="I115" i="3"/>
  <c r="Z115" i="3" s="1"/>
  <c r="G115" i="3"/>
  <c r="A115" i="3"/>
  <c r="AA114" i="3"/>
  <c r="Z114" i="3"/>
  <c r="X114" i="3"/>
  <c r="W114" i="3"/>
  <c r="V114" i="3"/>
  <c r="U114" i="3"/>
  <c r="Q114" i="3"/>
  <c r="I114" i="3"/>
  <c r="G114" i="3"/>
  <c r="A114" i="3"/>
  <c r="AA113" i="3"/>
  <c r="X113" i="3"/>
  <c r="W113" i="3"/>
  <c r="V113" i="3"/>
  <c r="U113" i="3"/>
  <c r="Q113" i="3"/>
  <c r="I113" i="3"/>
  <c r="Z113" i="3" s="1"/>
  <c r="G113" i="3"/>
  <c r="A113" i="3"/>
  <c r="AA112" i="3"/>
  <c r="Z112" i="3"/>
  <c r="X112" i="3"/>
  <c r="W112" i="3"/>
  <c r="V112" i="3"/>
  <c r="U112" i="3"/>
  <c r="Q112" i="3"/>
  <c r="I112" i="3"/>
  <c r="G112" i="3"/>
  <c r="A112" i="3"/>
  <c r="AA111" i="3"/>
  <c r="X111" i="3"/>
  <c r="W111" i="3"/>
  <c r="V111" i="3"/>
  <c r="U111" i="3"/>
  <c r="Q111" i="3"/>
  <c r="I111" i="3"/>
  <c r="Z111" i="3" s="1"/>
  <c r="G111" i="3"/>
  <c r="A111" i="3"/>
  <c r="AA110" i="3"/>
  <c r="Z110" i="3"/>
  <c r="X110" i="3"/>
  <c r="W110" i="3"/>
  <c r="V110" i="3"/>
  <c r="U110" i="3"/>
  <c r="Q110" i="3"/>
  <c r="I110" i="3"/>
  <c r="G110" i="3"/>
  <c r="A110" i="3"/>
  <c r="AA109" i="3"/>
  <c r="X109" i="3"/>
  <c r="W109" i="3"/>
  <c r="V109" i="3"/>
  <c r="U109" i="3"/>
  <c r="Q109" i="3"/>
  <c r="I109" i="3"/>
  <c r="Z109" i="3" s="1"/>
  <c r="G109" i="3"/>
  <c r="A109" i="3"/>
  <c r="AA108" i="3"/>
  <c r="Z108" i="3"/>
  <c r="X108" i="3"/>
  <c r="W108" i="3"/>
  <c r="V108" i="3"/>
  <c r="U108" i="3"/>
  <c r="Q108" i="3"/>
  <c r="I108" i="3"/>
  <c r="G108" i="3"/>
  <c r="A108" i="3"/>
  <c r="AA107" i="3"/>
  <c r="X107" i="3"/>
  <c r="W107" i="3"/>
  <c r="V107" i="3"/>
  <c r="U107" i="3"/>
  <c r="Q107" i="3"/>
  <c r="I107" i="3"/>
  <c r="Z107" i="3" s="1"/>
  <c r="G107" i="3"/>
  <c r="A107" i="3"/>
  <c r="AA106" i="3"/>
  <c r="Z106" i="3"/>
  <c r="X106" i="3"/>
  <c r="W106" i="3"/>
  <c r="V106" i="3"/>
  <c r="U106" i="3"/>
  <c r="Q106" i="3"/>
  <c r="I106" i="3"/>
  <c r="G106" i="3"/>
  <c r="A106" i="3"/>
  <c r="AA105" i="3"/>
  <c r="X105" i="3"/>
  <c r="W105" i="3"/>
  <c r="V105" i="3"/>
  <c r="U105" i="3"/>
  <c r="Q105" i="3"/>
  <c r="I105" i="3"/>
  <c r="Z105" i="3" s="1"/>
  <c r="G105" i="3"/>
  <c r="A105" i="3"/>
  <c r="AA104" i="3"/>
  <c r="Z104" i="3"/>
  <c r="X104" i="3"/>
  <c r="W104" i="3"/>
  <c r="V104" i="3"/>
  <c r="U104" i="3"/>
  <c r="Q104" i="3"/>
  <c r="I104" i="3"/>
  <c r="G104" i="3"/>
  <c r="A104" i="3"/>
  <c r="AA103" i="3"/>
  <c r="X103" i="3"/>
  <c r="W103" i="3"/>
  <c r="V103" i="3"/>
  <c r="U103" i="3"/>
  <c r="Q103" i="3"/>
  <c r="I103" i="3"/>
  <c r="Z103" i="3" s="1"/>
  <c r="G103" i="3"/>
  <c r="A103" i="3"/>
  <c r="AA102" i="3"/>
  <c r="Z102" i="3"/>
  <c r="X102" i="3"/>
  <c r="W102" i="3"/>
  <c r="V102" i="3"/>
  <c r="U102" i="3"/>
  <c r="Q102" i="3"/>
  <c r="I102" i="3"/>
  <c r="G102" i="3"/>
  <c r="A102" i="3"/>
  <c r="AA101" i="3"/>
  <c r="X101" i="3"/>
  <c r="W101" i="3"/>
  <c r="V101" i="3"/>
  <c r="U101" i="3"/>
  <c r="Q101" i="3"/>
  <c r="I101" i="3"/>
  <c r="Z101" i="3" s="1"/>
  <c r="G101" i="3"/>
  <c r="A101" i="3"/>
  <c r="AA100" i="3"/>
  <c r="Z100" i="3"/>
  <c r="X100" i="3"/>
  <c r="W100" i="3"/>
  <c r="V100" i="3"/>
  <c r="U100" i="3"/>
  <c r="Q100" i="3"/>
  <c r="I100" i="3"/>
  <c r="G100" i="3"/>
  <c r="A100" i="3"/>
  <c r="AA99" i="3"/>
  <c r="X99" i="3"/>
  <c r="W99" i="3"/>
  <c r="V99" i="3"/>
  <c r="U99" i="3"/>
  <c r="Q99" i="3"/>
  <c r="I99" i="3"/>
  <c r="Z99" i="3" s="1"/>
  <c r="G99" i="3"/>
  <c r="A99" i="3"/>
  <c r="AA98" i="3"/>
  <c r="Z98" i="3"/>
  <c r="X98" i="3"/>
  <c r="W98" i="3"/>
  <c r="V98" i="3"/>
  <c r="U98" i="3"/>
  <c r="Q98" i="3"/>
  <c r="I98" i="3"/>
  <c r="G98" i="3"/>
  <c r="A98" i="3"/>
  <c r="AA97" i="3"/>
  <c r="X97" i="3"/>
  <c r="W97" i="3"/>
  <c r="V97" i="3"/>
  <c r="U97" i="3"/>
  <c r="Q97" i="3"/>
  <c r="I97" i="3"/>
  <c r="Z97" i="3" s="1"/>
  <c r="G97" i="3"/>
  <c r="A97" i="3"/>
  <c r="AA96" i="3"/>
  <c r="Z96" i="3"/>
  <c r="X96" i="3"/>
  <c r="W96" i="3"/>
  <c r="V96" i="3"/>
  <c r="U96" i="3"/>
  <c r="Q96" i="3"/>
  <c r="I96" i="3"/>
  <c r="G96" i="3"/>
  <c r="A96" i="3"/>
  <c r="AA95" i="3"/>
  <c r="X95" i="3"/>
  <c r="W95" i="3"/>
  <c r="V95" i="3"/>
  <c r="U95" i="3"/>
  <c r="Q95" i="3"/>
  <c r="I95" i="3"/>
  <c r="Z95" i="3" s="1"/>
  <c r="G95" i="3"/>
  <c r="A95" i="3"/>
  <c r="AA94" i="3"/>
  <c r="Z94" i="3"/>
  <c r="X94" i="3"/>
  <c r="W94" i="3"/>
  <c r="V94" i="3"/>
  <c r="U94" i="3"/>
  <c r="Q94" i="3"/>
  <c r="I94" i="3"/>
  <c r="G94" i="3"/>
  <c r="A94" i="3"/>
  <c r="AA93" i="3"/>
  <c r="X93" i="3"/>
  <c r="W93" i="3"/>
  <c r="V93" i="3"/>
  <c r="U93" i="3"/>
  <c r="Q93" i="3"/>
  <c r="I93" i="3"/>
  <c r="Z93" i="3" s="1"/>
  <c r="G93" i="3"/>
  <c r="A93" i="3"/>
  <c r="AA92" i="3"/>
  <c r="Z92" i="3"/>
  <c r="X92" i="3"/>
  <c r="W92" i="3"/>
  <c r="V92" i="3"/>
  <c r="U92" i="3"/>
  <c r="Q92" i="3"/>
  <c r="I92" i="3"/>
  <c r="G92" i="3"/>
  <c r="A92" i="3"/>
  <c r="AA91" i="3"/>
  <c r="X91" i="3"/>
  <c r="W91" i="3"/>
  <c r="V91" i="3"/>
  <c r="U91" i="3"/>
  <c r="Q91" i="3"/>
  <c r="I91" i="3"/>
  <c r="Z91" i="3" s="1"/>
  <c r="G91" i="3"/>
  <c r="A91" i="3"/>
  <c r="AA90" i="3"/>
  <c r="Z90" i="3"/>
  <c r="X90" i="3"/>
  <c r="W90" i="3"/>
  <c r="V90" i="3"/>
  <c r="U90" i="3"/>
  <c r="Q90" i="3"/>
  <c r="I90" i="3"/>
  <c r="G90" i="3"/>
  <c r="A90" i="3"/>
  <c r="AA89" i="3"/>
  <c r="X89" i="3"/>
  <c r="W89" i="3"/>
  <c r="V89" i="3"/>
  <c r="U89" i="3"/>
  <c r="Q89" i="3"/>
  <c r="I89" i="3"/>
  <c r="Z89" i="3" s="1"/>
  <c r="G89" i="3"/>
  <c r="A89" i="3"/>
  <c r="AA88" i="3"/>
  <c r="Z88" i="3"/>
  <c r="X88" i="3"/>
  <c r="W88" i="3"/>
  <c r="V88" i="3"/>
  <c r="U88" i="3"/>
  <c r="Q88" i="3"/>
  <c r="I88" i="3"/>
  <c r="G88" i="3"/>
  <c r="A88" i="3"/>
  <c r="AA87" i="3"/>
  <c r="X87" i="3"/>
  <c r="W87" i="3"/>
  <c r="V87" i="3"/>
  <c r="U87" i="3"/>
  <c r="Q87" i="3"/>
  <c r="I87" i="3"/>
  <c r="Z87" i="3" s="1"/>
  <c r="G87" i="3"/>
  <c r="A87" i="3"/>
  <c r="AA86" i="3"/>
  <c r="Z86" i="3"/>
  <c r="X86" i="3"/>
  <c r="W86" i="3"/>
  <c r="V86" i="3"/>
  <c r="U86" i="3"/>
  <c r="Q86" i="3"/>
  <c r="I86" i="3"/>
  <c r="G86" i="3"/>
  <c r="A86" i="3"/>
  <c r="AA85" i="3"/>
  <c r="X85" i="3"/>
  <c r="W85" i="3"/>
  <c r="V85" i="3"/>
  <c r="U85" i="3"/>
  <c r="Q85" i="3"/>
  <c r="I85" i="3"/>
  <c r="Z85" i="3" s="1"/>
  <c r="G85" i="3"/>
  <c r="A85" i="3"/>
  <c r="AA84" i="3"/>
  <c r="Z84" i="3"/>
  <c r="X84" i="3"/>
  <c r="W84" i="3"/>
  <c r="V84" i="3"/>
  <c r="U84" i="3"/>
  <c r="Q84" i="3"/>
  <c r="I84" i="3"/>
  <c r="G84" i="3"/>
  <c r="A84" i="3"/>
  <c r="AA83" i="3"/>
  <c r="X83" i="3"/>
  <c r="W83" i="3"/>
  <c r="V83" i="3"/>
  <c r="U83" i="3"/>
  <c r="Q83" i="3"/>
  <c r="I83" i="3"/>
  <c r="Z83" i="3" s="1"/>
  <c r="G83" i="3"/>
  <c r="A83" i="3"/>
  <c r="AA82" i="3"/>
  <c r="Z82" i="3"/>
  <c r="X82" i="3"/>
  <c r="W82" i="3"/>
  <c r="V82" i="3"/>
  <c r="U82" i="3"/>
  <c r="Q82" i="3"/>
  <c r="I82" i="3"/>
  <c r="G82" i="3"/>
  <c r="A82" i="3"/>
  <c r="AA81" i="3"/>
  <c r="X81" i="3"/>
  <c r="W81" i="3"/>
  <c r="V81" i="3"/>
  <c r="U81" i="3"/>
  <c r="Q81" i="3"/>
  <c r="I81" i="3"/>
  <c r="Z81" i="3" s="1"/>
  <c r="G81" i="3"/>
  <c r="A81" i="3"/>
  <c r="AA80" i="3"/>
  <c r="Z80" i="3"/>
  <c r="X80" i="3"/>
  <c r="W80" i="3"/>
  <c r="V80" i="3"/>
  <c r="U80" i="3"/>
  <c r="Q80" i="3"/>
  <c r="I80" i="3"/>
  <c r="G80" i="3"/>
  <c r="A80" i="3"/>
  <c r="AA79" i="3"/>
  <c r="X79" i="3"/>
  <c r="W79" i="3"/>
  <c r="V79" i="3"/>
  <c r="U79" i="3"/>
  <c r="Q79" i="3"/>
  <c r="I79" i="3"/>
  <c r="Z79" i="3" s="1"/>
  <c r="G79" i="3"/>
  <c r="A79" i="3"/>
  <c r="AA78" i="3"/>
  <c r="Z78" i="3"/>
  <c r="X78" i="3"/>
  <c r="W78" i="3"/>
  <c r="V78" i="3"/>
  <c r="U78" i="3"/>
  <c r="Q78" i="3"/>
  <c r="I78" i="3"/>
  <c r="G78" i="3"/>
  <c r="A78" i="3"/>
  <c r="AA77" i="3"/>
  <c r="X77" i="3"/>
  <c r="W77" i="3"/>
  <c r="V77" i="3"/>
  <c r="U77" i="3"/>
  <c r="Q77" i="3"/>
  <c r="I77" i="3"/>
  <c r="Z77" i="3" s="1"/>
  <c r="G77" i="3"/>
  <c r="A77" i="3"/>
  <c r="AA76" i="3"/>
  <c r="Z76" i="3"/>
  <c r="X76" i="3"/>
  <c r="W76" i="3"/>
  <c r="V76" i="3"/>
  <c r="U76" i="3"/>
  <c r="Q76" i="3"/>
  <c r="I76" i="3"/>
  <c r="G76" i="3"/>
  <c r="A76" i="3"/>
  <c r="AA75" i="3"/>
  <c r="X75" i="3"/>
  <c r="W75" i="3"/>
  <c r="V75" i="3"/>
  <c r="U75" i="3"/>
  <c r="Q75" i="3"/>
  <c r="I75" i="3"/>
  <c r="Z75" i="3" s="1"/>
  <c r="G75" i="3"/>
  <c r="A75" i="3"/>
  <c r="AA74" i="3"/>
  <c r="Z74" i="3"/>
  <c r="X74" i="3"/>
  <c r="W74" i="3"/>
  <c r="V74" i="3"/>
  <c r="U74" i="3"/>
  <c r="Q74" i="3"/>
  <c r="I74" i="3"/>
  <c r="G74" i="3"/>
  <c r="A74" i="3"/>
  <c r="AA73" i="3"/>
  <c r="X73" i="3"/>
  <c r="W73" i="3"/>
  <c r="V73" i="3"/>
  <c r="U73" i="3"/>
  <c r="Q73" i="3"/>
  <c r="I73" i="3"/>
  <c r="Z73" i="3" s="1"/>
  <c r="G73" i="3"/>
  <c r="A73" i="3"/>
  <c r="AA72" i="3"/>
  <c r="Z72" i="3"/>
  <c r="X72" i="3"/>
  <c r="W72" i="3"/>
  <c r="V72" i="3"/>
  <c r="U72" i="3"/>
  <c r="Q72" i="3"/>
  <c r="I72" i="3"/>
  <c r="G72" i="3"/>
  <c r="A72" i="3"/>
  <c r="AA71" i="3"/>
  <c r="X71" i="3"/>
  <c r="W71" i="3"/>
  <c r="V71" i="3"/>
  <c r="U71" i="3"/>
  <c r="Q71" i="3"/>
  <c r="I71" i="3"/>
  <c r="Z71" i="3" s="1"/>
  <c r="G71" i="3"/>
  <c r="A71" i="3"/>
  <c r="AA70" i="3"/>
  <c r="Z70" i="3"/>
  <c r="X70" i="3"/>
  <c r="W70" i="3"/>
  <c r="V70" i="3"/>
  <c r="U70" i="3"/>
  <c r="Q70" i="3"/>
  <c r="I70" i="3"/>
  <c r="G70" i="3"/>
  <c r="A70" i="3"/>
  <c r="AA69" i="3"/>
  <c r="X69" i="3"/>
  <c r="W69" i="3"/>
  <c r="V69" i="3"/>
  <c r="U69" i="3"/>
  <c r="Q69" i="3"/>
  <c r="I69" i="3"/>
  <c r="Z69" i="3" s="1"/>
  <c r="G69" i="3"/>
  <c r="A69" i="3"/>
  <c r="AA68" i="3"/>
  <c r="Z68" i="3"/>
  <c r="X68" i="3"/>
  <c r="W68" i="3"/>
  <c r="V68" i="3"/>
  <c r="U68" i="3"/>
  <c r="Q68" i="3"/>
  <c r="I68" i="3"/>
  <c r="G68" i="3"/>
  <c r="A68" i="3"/>
  <c r="AA67" i="3"/>
  <c r="X67" i="3"/>
  <c r="W67" i="3"/>
  <c r="V67" i="3"/>
  <c r="U67" i="3"/>
  <c r="Q67" i="3"/>
  <c r="I67" i="3"/>
  <c r="Z67" i="3" s="1"/>
  <c r="G67" i="3"/>
  <c r="A67" i="3"/>
  <c r="AA66" i="3"/>
  <c r="Z66" i="3"/>
  <c r="X66" i="3"/>
  <c r="W66" i="3"/>
  <c r="V66" i="3"/>
  <c r="U66" i="3"/>
  <c r="Q66" i="3"/>
  <c r="I66" i="3"/>
  <c r="G66" i="3"/>
  <c r="A66" i="3"/>
  <c r="AA65" i="3"/>
  <c r="X65" i="3"/>
  <c r="W65" i="3"/>
  <c r="V65" i="3"/>
  <c r="U65" i="3"/>
  <c r="Q65" i="3"/>
  <c r="I65" i="3"/>
  <c r="Z65" i="3" s="1"/>
  <c r="G65" i="3"/>
  <c r="A65" i="3"/>
  <c r="AA64" i="3"/>
  <c r="Z64" i="3"/>
  <c r="X64" i="3"/>
  <c r="W64" i="3"/>
  <c r="V64" i="3"/>
  <c r="U64" i="3"/>
  <c r="Q64" i="3"/>
  <c r="I64" i="3"/>
  <c r="G64" i="3"/>
  <c r="A64" i="3"/>
  <c r="AA63" i="3"/>
  <c r="X63" i="3"/>
  <c r="W63" i="3"/>
  <c r="V63" i="3"/>
  <c r="U63" i="3"/>
  <c r="Q63" i="3"/>
  <c r="I63" i="3"/>
  <c r="Z63" i="3" s="1"/>
  <c r="G63" i="3"/>
  <c r="A63" i="3"/>
  <c r="AA62" i="3"/>
  <c r="Z62" i="3"/>
  <c r="X62" i="3"/>
  <c r="W62" i="3"/>
  <c r="V62" i="3"/>
  <c r="U62" i="3"/>
  <c r="Q62" i="3"/>
  <c r="I62" i="3"/>
  <c r="G62" i="3"/>
  <c r="A62" i="3"/>
  <c r="AA61" i="3"/>
  <c r="X61" i="3"/>
  <c r="W61" i="3"/>
  <c r="V61" i="3"/>
  <c r="U61" i="3"/>
  <c r="Q61" i="3"/>
  <c r="I61" i="3"/>
  <c r="Z61" i="3" s="1"/>
  <c r="G61" i="3"/>
  <c r="A61" i="3"/>
  <c r="AA60" i="3"/>
  <c r="Z60" i="3"/>
  <c r="X60" i="3"/>
  <c r="W60" i="3"/>
  <c r="V60" i="3"/>
  <c r="U60" i="3"/>
  <c r="Q60" i="3"/>
  <c r="I60" i="3"/>
  <c r="G60" i="3"/>
  <c r="A60" i="3"/>
  <c r="AA59" i="3"/>
  <c r="X59" i="3"/>
  <c r="W59" i="3"/>
  <c r="V59" i="3"/>
  <c r="U59" i="3"/>
  <c r="Q59" i="3"/>
  <c r="I59" i="3"/>
  <c r="Z59" i="3" s="1"/>
  <c r="G59" i="3"/>
  <c r="A59" i="3"/>
  <c r="AA58" i="3"/>
  <c r="Z58" i="3"/>
  <c r="X58" i="3"/>
  <c r="W58" i="3"/>
  <c r="V58" i="3"/>
  <c r="U58" i="3"/>
  <c r="Q58" i="3"/>
  <c r="I58" i="3"/>
  <c r="G58" i="3"/>
  <c r="A58" i="3"/>
  <c r="AA57" i="3"/>
  <c r="X57" i="3"/>
  <c r="W57" i="3"/>
  <c r="V57" i="3"/>
  <c r="U57" i="3"/>
  <c r="Q57" i="3"/>
  <c r="I57" i="3"/>
  <c r="Z57" i="3" s="1"/>
  <c r="G57" i="3"/>
  <c r="A57" i="3"/>
  <c r="AA56" i="3"/>
  <c r="Z56" i="3"/>
  <c r="X56" i="3"/>
  <c r="W56" i="3"/>
  <c r="V56" i="3"/>
  <c r="U56" i="3"/>
  <c r="Q56" i="3"/>
  <c r="I56" i="3"/>
  <c r="G56" i="3"/>
  <c r="A56" i="3"/>
  <c r="AA55" i="3"/>
  <c r="X55" i="3"/>
  <c r="W55" i="3"/>
  <c r="V55" i="3"/>
  <c r="U55" i="3"/>
  <c r="Q55" i="3"/>
  <c r="I55" i="3"/>
  <c r="Z55" i="3" s="1"/>
  <c r="G55" i="3"/>
  <c r="A55" i="3"/>
  <c r="AA54" i="3"/>
  <c r="Z54" i="3"/>
  <c r="X54" i="3"/>
  <c r="W54" i="3"/>
  <c r="V54" i="3"/>
  <c r="U54" i="3"/>
  <c r="Q54" i="3"/>
  <c r="I54" i="3"/>
  <c r="G54" i="3"/>
  <c r="A54" i="3"/>
  <c r="AA53" i="3"/>
  <c r="X53" i="3"/>
  <c r="W53" i="3"/>
  <c r="V53" i="3"/>
  <c r="U53" i="3"/>
  <c r="Q53" i="3"/>
  <c r="I53" i="3"/>
  <c r="Z53" i="3" s="1"/>
  <c r="G53" i="3"/>
  <c r="A53" i="3"/>
  <c r="AA52" i="3"/>
  <c r="Z52" i="3"/>
  <c r="X52" i="3"/>
  <c r="W52" i="3"/>
  <c r="V52" i="3"/>
  <c r="U52" i="3"/>
  <c r="Q52" i="3"/>
  <c r="I52" i="3"/>
  <c r="G52" i="3"/>
  <c r="A52" i="3"/>
  <c r="AA51" i="3"/>
  <c r="X51" i="3"/>
  <c r="W51" i="3"/>
  <c r="V51" i="3"/>
  <c r="U51" i="3"/>
  <c r="Q51" i="3"/>
  <c r="I51" i="3"/>
  <c r="Z51" i="3" s="1"/>
  <c r="G51" i="3"/>
  <c r="A51" i="3"/>
  <c r="AA50" i="3"/>
  <c r="Z50" i="3"/>
  <c r="X50" i="3"/>
  <c r="W50" i="3"/>
  <c r="V50" i="3"/>
  <c r="U50" i="3"/>
  <c r="Q50" i="3"/>
  <c r="I50" i="3"/>
  <c r="G50" i="3"/>
  <c r="A50" i="3"/>
  <c r="AA49" i="3"/>
  <c r="X49" i="3"/>
  <c r="W49" i="3"/>
  <c r="V49" i="3"/>
  <c r="U49" i="3"/>
  <c r="Q49" i="3"/>
  <c r="I49" i="3"/>
  <c r="Z49" i="3" s="1"/>
  <c r="G49" i="3"/>
  <c r="A49" i="3"/>
  <c r="AA48" i="3"/>
  <c r="Z48" i="3"/>
  <c r="X48" i="3"/>
  <c r="W48" i="3"/>
  <c r="V48" i="3"/>
  <c r="U48" i="3"/>
  <c r="Q48" i="3"/>
  <c r="I48" i="3"/>
  <c r="G48" i="3"/>
  <c r="A48" i="3"/>
  <c r="AA47" i="3"/>
  <c r="X47" i="3"/>
  <c r="W47" i="3"/>
  <c r="V47" i="3"/>
  <c r="U47" i="3"/>
  <c r="Q47" i="3"/>
  <c r="I47" i="3"/>
  <c r="Z47" i="3" s="1"/>
  <c r="G47" i="3"/>
  <c r="A47" i="3"/>
  <c r="AA46" i="3"/>
  <c r="Z46" i="3"/>
  <c r="X46" i="3"/>
  <c r="W46" i="3"/>
  <c r="V46" i="3"/>
  <c r="U46" i="3"/>
  <c r="Q46" i="3"/>
  <c r="I46" i="3"/>
  <c r="G46" i="3"/>
  <c r="A46" i="3"/>
  <c r="AA45" i="3"/>
  <c r="X45" i="3"/>
  <c r="W45" i="3"/>
  <c r="V45" i="3"/>
  <c r="U45" i="3"/>
  <c r="Q45" i="3"/>
  <c r="I45" i="3"/>
  <c r="Z45" i="3" s="1"/>
  <c r="G45" i="3"/>
  <c r="A45" i="3"/>
  <c r="AA44" i="3"/>
  <c r="W44" i="3"/>
  <c r="V44" i="3"/>
  <c r="U44" i="3"/>
  <c r="H39" i="1" s="1"/>
  <c r="Q44" i="3"/>
  <c r="G44" i="3"/>
  <c r="I44" i="3" s="1"/>
  <c r="Z44" i="3" s="1"/>
  <c r="A44" i="3"/>
  <c r="AA43" i="3"/>
  <c r="W43" i="3"/>
  <c r="V43" i="3"/>
  <c r="U43" i="3"/>
  <c r="Q43" i="3"/>
  <c r="I43" i="3"/>
  <c r="Z43" i="3" s="1"/>
  <c r="G43" i="3"/>
  <c r="A43" i="3"/>
  <c r="AA42" i="3"/>
  <c r="Z42" i="3"/>
  <c r="W42" i="3"/>
  <c r="V42" i="3"/>
  <c r="U42" i="3"/>
  <c r="H38" i="1" s="1"/>
  <c r="Q42" i="3"/>
  <c r="G42" i="3"/>
  <c r="I42" i="3" s="1"/>
  <c r="A42" i="3"/>
  <c r="AA41" i="3"/>
  <c r="W41" i="3"/>
  <c r="V41" i="3"/>
  <c r="U41" i="3"/>
  <c r="Q41" i="3"/>
  <c r="G41" i="3"/>
  <c r="I41" i="3" s="1"/>
  <c r="Z41" i="3" s="1"/>
  <c r="A41" i="3"/>
  <c r="AA40" i="3"/>
  <c r="W40" i="3"/>
  <c r="V40" i="3"/>
  <c r="U40" i="3"/>
  <c r="Q40" i="3"/>
  <c r="G40" i="3"/>
  <c r="I40" i="3" s="1"/>
  <c r="Z40" i="3" s="1"/>
  <c r="A40" i="3"/>
  <c r="AA39" i="3"/>
  <c r="W39" i="3"/>
  <c r="V39" i="3"/>
  <c r="U39" i="3"/>
  <c r="Q39" i="3"/>
  <c r="G39" i="3"/>
  <c r="I39" i="3" s="1"/>
  <c r="Z39" i="3" s="1"/>
  <c r="A39" i="3"/>
  <c r="AA38" i="3"/>
  <c r="Z38" i="3"/>
  <c r="W38" i="3"/>
  <c r="V38" i="3"/>
  <c r="U38" i="3"/>
  <c r="Q38" i="3"/>
  <c r="G38" i="3"/>
  <c r="I38" i="3" s="1"/>
  <c r="A38" i="3"/>
  <c r="AA37" i="3"/>
  <c r="W37" i="3"/>
  <c r="V37" i="3"/>
  <c r="U37" i="3"/>
  <c r="Q37" i="3"/>
  <c r="G37" i="3"/>
  <c r="I37" i="3" s="1"/>
  <c r="A37" i="3"/>
  <c r="AA36" i="3"/>
  <c r="W36" i="3"/>
  <c r="V36" i="3"/>
  <c r="U36" i="3"/>
  <c r="Q36" i="3"/>
  <c r="G36" i="3"/>
  <c r="I36" i="3" s="1"/>
  <c r="Z36" i="3" s="1"/>
  <c r="A36" i="3"/>
  <c r="AA35" i="3"/>
  <c r="X35" i="3"/>
  <c r="W35" i="3"/>
  <c r="V35" i="3"/>
  <c r="U35" i="3"/>
  <c r="Q35" i="3"/>
  <c r="G35" i="3"/>
  <c r="I35" i="3" s="1"/>
  <c r="Z35" i="3" s="1"/>
  <c r="A35" i="3"/>
  <c r="AA34" i="3"/>
  <c r="Z34" i="3"/>
  <c r="X34" i="3"/>
  <c r="W34" i="3"/>
  <c r="V34" i="3"/>
  <c r="U34" i="3"/>
  <c r="Q34" i="3"/>
  <c r="G34" i="3"/>
  <c r="I34" i="3" s="1"/>
  <c r="A34" i="3"/>
  <c r="AA33" i="3"/>
  <c r="X33" i="3"/>
  <c r="W33" i="3"/>
  <c r="V33" i="3"/>
  <c r="U33" i="3"/>
  <c r="H36" i="1" s="1"/>
  <c r="Q33" i="3"/>
  <c r="G33" i="3"/>
  <c r="I33" i="3" s="1"/>
  <c r="Z33" i="3" s="1"/>
  <c r="A33" i="3"/>
  <c r="AA32" i="3"/>
  <c r="X32" i="3"/>
  <c r="W32" i="3"/>
  <c r="V32" i="3"/>
  <c r="U32" i="3"/>
  <c r="Q32" i="3"/>
  <c r="G32" i="3"/>
  <c r="I32" i="3" s="1"/>
  <c r="Z32" i="3" s="1"/>
  <c r="A32" i="3"/>
  <c r="AA31" i="3"/>
  <c r="X31" i="3"/>
  <c r="W31" i="3"/>
  <c r="V31" i="3"/>
  <c r="U31" i="3"/>
  <c r="Q31" i="3"/>
  <c r="G31" i="3"/>
  <c r="I31" i="3" s="1"/>
  <c r="Z31" i="3" s="1"/>
  <c r="A31" i="3"/>
  <c r="AA30" i="3"/>
  <c r="Z30" i="3"/>
  <c r="X30" i="3"/>
  <c r="W30" i="3"/>
  <c r="V30" i="3"/>
  <c r="U30" i="3"/>
  <c r="Q30" i="3"/>
  <c r="G30" i="3"/>
  <c r="I30" i="3" s="1"/>
  <c r="A30" i="3"/>
  <c r="AA29" i="3"/>
  <c r="X29" i="3"/>
  <c r="W29" i="3"/>
  <c r="V29" i="3"/>
  <c r="U29" i="3"/>
  <c r="Q29" i="3"/>
  <c r="G29" i="3"/>
  <c r="I29" i="3" s="1"/>
  <c r="Z29" i="3" s="1"/>
  <c r="A29" i="3"/>
  <c r="AA28" i="3"/>
  <c r="X28" i="3"/>
  <c r="W28" i="3"/>
  <c r="V28" i="3"/>
  <c r="U28" i="3"/>
  <c r="Q28" i="3"/>
  <c r="G28" i="3"/>
  <c r="I28" i="3" s="1"/>
  <c r="Z28" i="3" s="1"/>
  <c r="A28" i="3"/>
  <c r="AA27" i="3"/>
  <c r="X27" i="3"/>
  <c r="W27" i="3"/>
  <c r="V27" i="3"/>
  <c r="U27" i="3"/>
  <c r="D34" i="1" s="1"/>
  <c r="Q27" i="3"/>
  <c r="G27" i="3"/>
  <c r="I27" i="3" s="1"/>
  <c r="Z27" i="3" s="1"/>
  <c r="A27" i="3"/>
  <c r="AA26" i="3"/>
  <c r="Z26" i="3"/>
  <c r="X26" i="3"/>
  <c r="W26" i="3"/>
  <c r="V26" i="3"/>
  <c r="U26" i="3"/>
  <c r="Q26" i="3"/>
  <c r="G26" i="3"/>
  <c r="I26" i="3" s="1"/>
  <c r="A26" i="3"/>
  <c r="AA25" i="3"/>
  <c r="X25" i="3"/>
  <c r="W25" i="3"/>
  <c r="V25" i="3"/>
  <c r="U25" i="3"/>
  <c r="Q25" i="3"/>
  <c r="G25" i="3"/>
  <c r="I25" i="3" s="1"/>
  <c r="Z25" i="3" s="1"/>
  <c r="A25" i="3"/>
  <c r="AA24" i="3"/>
  <c r="X24" i="3"/>
  <c r="W24" i="3"/>
  <c r="V24" i="3"/>
  <c r="U24" i="3"/>
  <c r="Q24" i="3"/>
  <c r="G24" i="3"/>
  <c r="I24" i="3" s="1"/>
  <c r="Z24" i="3" s="1"/>
  <c r="A24" i="3"/>
  <c r="AA23" i="3"/>
  <c r="X23" i="3"/>
  <c r="W23" i="3"/>
  <c r="V23" i="3"/>
  <c r="U23" i="3"/>
  <c r="Q23" i="3"/>
  <c r="G23" i="3"/>
  <c r="I23" i="3" s="1"/>
  <c r="Z23" i="3" s="1"/>
  <c r="A23" i="3"/>
  <c r="AA22" i="3"/>
  <c r="Z22" i="3"/>
  <c r="X22" i="3"/>
  <c r="W22" i="3"/>
  <c r="V22" i="3"/>
  <c r="U22" i="3"/>
  <c r="Q22" i="3"/>
  <c r="G22" i="3"/>
  <c r="I22" i="3" s="1"/>
  <c r="A22" i="3"/>
  <c r="AA21" i="3"/>
  <c r="X21" i="3"/>
  <c r="W21" i="3"/>
  <c r="V21" i="3"/>
  <c r="U21" i="3"/>
  <c r="Q21" i="3"/>
  <c r="G21" i="3"/>
  <c r="I21" i="3" s="1"/>
  <c r="Z21" i="3" s="1"/>
  <c r="A21" i="3"/>
  <c r="AA20" i="3"/>
  <c r="X20" i="3"/>
  <c r="W20" i="3"/>
  <c r="V20" i="3"/>
  <c r="U20" i="3"/>
  <c r="H32" i="1" s="1"/>
  <c r="Q20" i="3"/>
  <c r="G20" i="3"/>
  <c r="I20" i="3" s="1"/>
  <c r="Z20" i="3" s="1"/>
  <c r="A20" i="3"/>
  <c r="AA19" i="3"/>
  <c r="X19" i="3"/>
  <c r="W19" i="3"/>
  <c r="V19" i="3"/>
  <c r="U19" i="3"/>
  <c r="Q19" i="3"/>
  <c r="G19" i="3"/>
  <c r="I19" i="3" s="1"/>
  <c r="Z19" i="3" s="1"/>
  <c r="A19" i="3"/>
  <c r="AA18" i="3"/>
  <c r="Z18" i="3"/>
  <c r="X18" i="3"/>
  <c r="W18" i="3"/>
  <c r="V18" i="3"/>
  <c r="U18" i="3"/>
  <c r="Q18" i="3"/>
  <c r="G18" i="3"/>
  <c r="I18" i="3" s="1"/>
  <c r="A18" i="3"/>
  <c r="AA17" i="3"/>
  <c r="X17" i="3"/>
  <c r="W17" i="3"/>
  <c r="V17" i="3"/>
  <c r="U17" i="3"/>
  <c r="H31" i="1" s="1"/>
  <c r="Q17" i="3"/>
  <c r="G17" i="3"/>
  <c r="I17" i="3" s="1"/>
  <c r="Z17" i="3" s="1"/>
  <c r="A17" i="3"/>
  <c r="AA16" i="3"/>
  <c r="X16" i="3"/>
  <c r="W16" i="3"/>
  <c r="V16" i="3"/>
  <c r="U16" i="3"/>
  <c r="Q16" i="3"/>
  <c r="G16" i="3"/>
  <c r="I16" i="3" s="1"/>
  <c r="Z16" i="3" s="1"/>
  <c r="A16" i="3"/>
  <c r="AA15" i="3"/>
  <c r="X15" i="3"/>
  <c r="W15" i="3"/>
  <c r="V15" i="3"/>
  <c r="U15" i="3"/>
  <c r="Q15" i="3"/>
  <c r="G15" i="3"/>
  <c r="I15" i="3" s="1"/>
  <c r="Z15" i="3" s="1"/>
  <c r="A15" i="3"/>
  <c r="AA14" i="3"/>
  <c r="Z14" i="3"/>
  <c r="X14" i="3"/>
  <c r="W14" i="3"/>
  <c r="V14" i="3"/>
  <c r="U14" i="3"/>
  <c r="Q14" i="3"/>
  <c r="G14" i="3"/>
  <c r="I14" i="3" s="1"/>
  <c r="A14" i="3"/>
  <c r="AA13" i="3"/>
  <c r="Z13" i="3"/>
  <c r="X13" i="3"/>
  <c r="W13" i="3"/>
  <c r="V13" i="3"/>
  <c r="U13" i="3"/>
  <c r="Q13" i="3"/>
  <c r="I13" i="3"/>
  <c r="G13" i="3"/>
  <c r="A13" i="3"/>
  <c r="AA12" i="3"/>
  <c r="X12" i="3"/>
  <c r="W12" i="3"/>
  <c r="V12" i="3"/>
  <c r="U12" i="3"/>
  <c r="Q12" i="3"/>
  <c r="I12" i="3"/>
  <c r="Z12" i="3" s="1"/>
  <c r="G12" i="3"/>
  <c r="A12" i="3"/>
  <c r="AA11" i="3"/>
  <c r="Z11" i="3"/>
  <c r="X11" i="3"/>
  <c r="W11" i="3"/>
  <c r="V11" i="3"/>
  <c r="U11" i="3"/>
  <c r="Q11" i="3"/>
  <c r="I11" i="3"/>
  <c r="G11" i="3"/>
  <c r="A11" i="3"/>
  <c r="AA10" i="3"/>
  <c r="X10" i="3"/>
  <c r="W10" i="3"/>
  <c r="V10" i="3"/>
  <c r="U10" i="3"/>
  <c r="Q10" i="3"/>
  <c r="I10" i="3"/>
  <c r="Z10" i="3" s="1"/>
  <c r="G10" i="3"/>
  <c r="A10" i="3"/>
  <c r="AA9" i="3"/>
  <c r="Z9" i="3"/>
  <c r="X9" i="3"/>
  <c r="W9" i="3"/>
  <c r="V9" i="3"/>
  <c r="U9" i="3"/>
  <c r="Q9" i="3"/>
  <c r="I9" i="3"/>
  <c r="G9" i="3"/>
  <c r="A9" i="3"/>
  <c r="AA8" i="3"/>
  <c r="X8" i="3"/>
  <c r="W8" i="3"/>
  <c r="V8" i="3"/>
  <c r="U8" i="3"/>
  <c r="Q8" i="3"/>
  <c r="I8" i="3"/>
  <c r="Z8" i="3" s="1"/>
  <c r="G8" i="3"/>
  <c r="A8" i="3"/>
  <c r="AA7" i="3"/>
  <c r="Z7" i="3"/>
  <c r="X7" i="3"/>
  <c r="W7" i="3"/>
  <c r="V7" i="3"/>
  <c r="U7" i="3"/>
  <c r="Q7" i="3"/>
  <c r="I7" i="3"/>
  <c r="G7" i="3"/>
  <c r="A7" i="3"/>
  <c r="C2" i="3"/>
  <c r="T23" i="2"/>
  <c r="H23" i="2"/>
  <c r="B23" i="2"/>
  <c r="T22" i="2"/>
  <c r="H22" i="2"/>
  <c r="T19" i="2"/>
  <c r="N19" i="2"/>
  <c r="T18" i="2"/>
  <c r="N18" i="2"/>
  <c r="B18" i="2"/>
  <c r="B16" i="2"/>
  <c r="J7" i="2"/>
  <c r="B7" i="2"/>
  <c r="T6" i="2"/>
  <c r="X14" i="2" s="1"/>
  <c r="R6" i="2"/>
  <c r="R7" i="2" s="1"/>
  <c r="L6" i="2"/>
  <c r="O14" i="2" s="1"/>
  <c r="J6" i="2"/>
  <c r="D6" i="2"/>
  <c r="F14" i="2" s="1"/>
  <c r="B6" i="2"/>
  <c r="Z5" i="2"/>
  <c r="R3" i="2"/>
  <c r="D2" i="2"/>
  <c r="J71" i="1"/>
  <c r="J70" i="1"/>
  <c r="J69" i="1"/>
  <c r="J68" i="1"/>
  <c r="J67" i="1"/>
  <c r="F67" i="1"/>
  <c r="P66" i="1"/>
  <c r="L66" i="1"/>
  <c r="J66" i="1"/>
  <c r="Q66" i="1" s="1"/>
  <c r="G66" i="1"/>
  <c r="E66" i="1"/>
  <c r="C66" i="1"/>
  <c r="B66" i="1"/>
  <c r="D66" i="1" s="1"/>
  <c r="Q65" i="1"/>
  <c r="M65" i="1"/>
  <c r="K65" i="1"/>
  <c r="J65" i="1"/>
  <c r="P65" i="1" s="1"/>
  <c r="B65" i="1"/>
  <c r="G65" i="1" s="1"/>
  <c r="J64" i="1"/>
  <c r="G64" i="1"/>
  <c r="E64" i="1"/>
  <c r="D64" i="1"/>
  <c r="C64" i="1"/>
  <c r="B64" i="1"/>
  <c r="F64" i="1" s="1"/>
  <c r="Q63" i="1"/>
  <c r="P63" i="1"/>
  <c r="M63" i="1"/>
  <c r="L63" i="1"/>
  <c r="K63" i="1"/>
  <c r="J63" i="1"/>
  <c r="N63" i="1" s="1"/>
  <c r="D63" i="1"/>
  <c r="B63" i="1"/>
  <c r="E63" i="1" s="1"/>
  <c r="P62" i="1"/>
  <c r="L62" i="1"/>
  <c r="J62" i="1"/>
  <c r="Q62" i="1" s="1"/>
  <c r="G62" i="1"/>
  <c r="E62" i="1"/>
  <c r="C62" i="1"/>
  <c r="B62" i="1"/>
  <c r="D62" i="1" s="1"/>
  <c r="K39" i="1"/>
  <c r="K40" i="1" s="1"/>
  <c r="I39" i="1"/>
  <c r="G39" i="1"/>
  <c r="F39" i="1"/>
  <c r="E39" i="1"/>
  <c r="C39" i="1"/>
  <c r="K38" i="1"/>
  <c r="I38" i="1"/>
  <c r="G38" i="1"/>
  <c r="F38" i="1"/>
  <c r="E38" i="1"/>
  <c r="C38" i="1"/>
  <c r="K37" i="1"/>
  <c r="I37" i="1"/>
  <c r="G37" i="1"/>
  <c r="F37" i="1"/>
  <c r="E37" i="1"/>
  <c r="C37" i="1"/>
  <c r="Q36" i="1"/>
  <c r="O36" i="1"/>
  <c r="N36" i="1"/>
  <c r="K36" i="1"/>
  <c r="I36" i="1"/>
  <c r="G36" i="1"/>
  <c r="F36" i="1"/>
  <c r="E36" i="1"/>
  <c r="C36" i="1"/>
  <c r="Q35" i="1"/>
  <c r="O35" i="1"/>
  <c r="N35" i="1"/>
  <c r="K35" i="1"/>
  <c r="I35" i="1"/>
  <c r="G35" i="1"/>
  <c r="F35" i="1"/>
  <c r="E35" i="1"/>
  <c r="C35" i="1"/>
  <c r="Q34" i="1"/>
  <c r="O34" i="1"/>
  <c r="N34" i="1"/>
  <c r="K34" i="1"/>
  <c r="I34" i="1"/>
  <c r="G34" i="1"/>
  <c r="F34" i="1"/>
  <c r="E34" i="1"/>
  <c r="C34" i="1"/>
  <c r="K33" i="1"/>
  <c r="I33" i="1"/>
  <c r="H33" i="1"/>
  <c r="G33" i="1"/>
  <c r="F33" i="1"/>
  <c r="E33" i="1"/>
  <c r="D33" i="1"/>
  <c r="C33" i="1"/>
  <c r="K32" i="1"/>
  <c r="I32" i="1"/>
  <c r="G32" i="1"/>
  <c r="F32" i="1"/>
  <c r="E32" i="1"/>
  <c r="D32" i="1"/>
  <c r="C32" i="1"/>
  <c r="K31" i="1"/>
  <c r="I31" i="1"/>
  <c r="G31" i="1"/>
  <c r="F31" i="1"/>
  <c r="E31" i="1"/>
  <c r="C31" i="1"/>
  <c r="K30" i="1"/>
  <c r="I30" i="1"/>
  <c r="G30" i="1"/>
  <c r="F30" i="1"/>
  <c r="E30" i="1"/>
  <c r="C30" i="1"/>
  <c r="P29" i="1"/>
  <c r="Q29" i="1" s="1"/>
  <c r="O29" i="1"/>
  <c r="N29" i="1"/>
  <c r="K29" i="1"/>
  <c r="I29" i="1"/>
  <c r="G29" i="1"/>
  <c r="F29" i="1"/>
  <c r="E29" i="1"/>
  <c r="C29" i="1"/>
  <c r="P28" i="1"/>
  <c r="Q28" i="1" s="1"/>
  <c r="O28" i="1"/>
  <c r="N28" i="1"/>
  <c r="K28" i="1"/>
  <c r="I28" i="1"/>
  <c r="G28" i="1"/>
  <c r="G40" i="1" s="1"/>
  <c r="F28" i="1"/>
  <c r="E28" i="1"/>
  <c r="E40" i="1" s="1"/>
  <c r="C28" i="1"/>
  <c r="B26" i="1"/>
  <c r="F13" i="1"/>
  <c r="B13" i="1"/>
  <c r="F12" i="1"/>
  <c r="F9" i="1"/>
  <c r="N8" i="1"/>
  <c r="B8" i="1"/>
  <c r="B6" i="1"/>
  <c r="N3" i="1"/>
  <c r="D2" i="1"/>
  <c r="H35" i="1" l="1"/>
  <c r="S20" i="1"/>
  <c r="D20" i="1" s="1"/>
  <c r="N23" i="2"/>
  <c r="H34" i="1"/>
  <c r="H29" i="1"/>
  <c r="O65" i="1"/>
  <c r="P34" i="1"/>
  <c r="O63" i="1"/>
  <c r="O67" i="1"/>
  <c r="P35" i="1"/>
  <c r="B22" i="2"/>
  <c r="O68" i="1"/>
  <c r="N12" i="1"/>
  <c r="S24" i="1"/>
  <c r="P24" i="1" s="1"/>
  <c r="N13" i="1"/>
  <c r="O64" i="1"/>
  <c r="H40" i="1"/>
  <c r="D29" i="1"/>
  <c r="O70" i="1"/>
  <c r="Q20" i="1"/>
  <c r="B12" i="1"/>
  <c r="S21" i="1"/>
  <c r="B21" i="1" s="1"/>
  <c r="S23" i="1"/>
  <c r="D30" i="1"/>
  <c r="H30" i="1"/>
  <c r="D31" i="1"/>
  <c r="D35" i="1"/>
  <c r="D36" i="1"/>
  <c r="D37" i="1"/>
  <c r="H37" i="1"/>
  <c r="D38" i="1"/>
  <c r="D39" i="1"/>
  <c r="O71" i="1"/>
  <c r="B19" i="2"/>
  <c r="F8" i="1"/>
  <c r="S22" i="1"/>
  <c r="I22" i="1" s="1"/>
  <c r="S17" i="1"/>
  <c r="B17" i="1" s="1"/>
  <c r="S18" i="1"/>
  <c r="M18" i="1" s="1"/>
  <c r="S19" i="1"/>
  <c r="P36" i="1"/>
  <c r="N22" i="2"/>
  <c r="B9" i="1"/>
  <c r="J12" i="1"/>
  <c r="J13" i="1"/>
  <c r="D28" i="1"/>
  <c r="H28" i="1"/>
  <c r="O69" i="1"/>
  <c r="B20" i="1"/>
  <c r="I20" i="1"/>
  <c r="N20" i="1"/>
  <c r="B22" i="1"/>
  <c r="B24" i="1"/>
  <c r="I24" i="1"/>
  <c r="C40" i="1"/>
  <c r="J17" i="1"/>
  <c r="P19" i="1"/>
  <c r="C20" i="1"/>
  <c r="J20" i="1"/>
  <c r="P20" i="1"/>
  <c r="C23" i="1"/>
  <c r="J24" i="1"/>
  <c r="Q24" i="1"/>
  <c r="J36" i="1"/>
  <c r="J32" i="1"/>
  <c r="I40" i="1"/>
  <c r="J39" i="1"/>
  <c r="J40" i="1" s="1"/>
  <c r="J35" i="1"/>
  <c r="J38" i="1"/>
  <c r="J34" i="1"/>
  <c r="J30" i="1"/>
  <c r="J37" i="1"/>
  <c r="J33" i="1"/>
  <c r="J29" i="1"/>
  <c r="J31" i="1"/>
  <c r="F40" i="1"/>
  <c r="J28" i="1"/>
  <c r="F63" i="1"/>
  <c r="L64" i="1"/>
  <c r="P64" i="1"/>
  <c r="D65" i="1"/>
  <c r="D67" i="1" s="1"/>
  <c r="N66" i="1"/>
  <c r="L67" i="1"/>
  <c r="P67" i="1"/>
  <c r="L68" i="1"/>
  <c r="P68" i="1"/>
  <c r="L69" i="1"/>
  <c r="P69" i="1"/>
  <c r="L70" i="1"/>
  <c r="P70" i="1"/>
  <c r="L71" i="1"/>
  <c r="P71" i="1"/>
  <c r="B9" i="2"/>
  <c r="F9" i="2"/>
  <c r="K9" i="2"/>
  <c r="O9" i="2"/>
  <c r="T9" i="2"/>
  <c r="X9" i="2"/>
  <c r="C10" i="2"/>
  <c r="G10" i="2"/>
  <c r="L10" i="2"/>
  <c r="P10" i="2"/>
  <c r="U10" i="2"/>
  <c r="D11" i="2"/>
  <c r="H11" i="2"/>
  <c r="M11" i="2"/>
  <c r="R11" i="2"/>
  <c r="V11" i="2"/>
  <c r="E12" i="2"/>
  <c r="J12" i="2"/>
  <c r="N12" i="2"/>
  <c r="S12" i="2"/>
  <c r="W12" i="2"/>
  <c r="B13" i="2"/>
  <c r="F13" i="2"/>
  <c r="K13" i="2"/>
  <c r="O13" i="2"/>
  <c r="T13" i="2"/>
  <c r="X13" i="2"/>
  <c r="C14" i="2"/>
  <c r="G14" i="2"/>
  <c r="L14" i="2"/>
  <c r="P14" i="2"/>
  <c r="U14" i="2"/>
  <c r="F62" i="1"/>
  <c r="K62" i="1"/>
  <c r="O62" i="1"/>
  <c r="C63" i="1"/>
  <c r="C67" i="1" s="1"/>
  <c r="G63" i="1"/>
  <c r="H63" i="1" s="1"/>
  <c r="M64" i="1"/>
  <c r="Q64" i="1"/>
  <c r="E65" i="1"/>
  <c r="E67" i="1" s="1"/>
  <c r="N65" i="1"/>
  <c r="F66" i="1"/>
  <c r="K66" i="1"/>
  <c r="O66" i="1"/>
  <c r="M67" i="1"/>
  <c r="Q67" i="1"/>
  <c r="M68" i="1"/>
  <c r="Q68" i="1"/>
  <c r="M69" i="1"/>
  <c r="Q69" i="1"/>
  <c r="M70" i="1"/>
  <c r="Q70" i="1"/>
  <c r="M71" i="1"/>
  <c r="Q71" i="1"/>
  <c r="C9" i="2"/>
  <c r="G9" i="2"/>
  <c r="L9" i="2"/>
  <c r="P9" i="2"/>
  <c r="U9" i="2"/>
  <c r="D10" i="2"/>
  <c r="H10" i="2"/>
  <c r="M10" i="2"/>
  <c r="R10" i="2"/>
  <c r="V10" i="2"/>
  <c r="E11" i="2"/>
  <c r="J11" i="2"/>
  <c r="N11" i="2"/>
  <c r="S11" i="2"/>
  <c r="W11" i="2"/>
  <c r="B12" i="2"/>
  <c r="F12" i="2"/>
  <c r="K12" i="2"/>
  <c r="O12" i="2"/>
  <c r="T12" i="2"/>
  <c r="X12" i="2"/>
  <c r="C13" i="2"/>
  <c r="G13" i="2"/>
  <c r="L13" i="2"/>
  <c r="P13" i="2"/>
  <c r="U13" i="2"/>
  <c r="D14" i="2"/>
  <c r="H14" i="2"/>
  <c r="M14" i="2"/>
  <c r="R14" i="2"/>
  <c r="V14" i="2"/>
  <c r="N64" i="1"/>
  <c r="F65" i="1"/>
  <c r="N67" i="1"/>
  <c r="N68" i="1"/>
  <c r="N69" i="1"/>
  <c r="N70" i="1"/>
  <c r="N71" i="1"/>
  <c r="D9" i="2"/>
  <c r="H9" i="2"/>
  <c r="M9" i="2"/>
  <c r="R9" i="2"/>
  <c r="V9" i="2"/>
  <c r="E10" i="2"/>
  <c r="J10" i="2"/>
  <c r="N10" i="2"/>
  <c r="S10" i="2"/>
  <c r="W10" i="2"/>
  <c r="B11" i="2"/>
  <c r="F11" i="2"/>
  <c r="K11" i="2"/>
  <c r="O11" i="2"/>
  <c r="T11" i="2"/>
  <c r="X11" i="2"/>
  <c r="C12" i="2"/>
  <c r="G12" i="2"/>
  <c r="L12" i="2"/>
  <c r="P12" i="2"/>
  <c r="U12" i="2"/>
  <c r="D13" i="2"/>
  <c r="H13" i="2"/>
  <c r="M13" i="2"/>
  <c r="R13" i="2"/>
  <c r="V13" i="2"/>
  <c r="E14" i="2"/>
  <c r="J14" i="2"/>
  <c r="N14" i="2"/>
  <c r="S14" i="2"/>
  <c r="W14" i="2"/>
  <c r="Z37" i="3"/>
  <c r="N62" i="1" s="1"/>
  <c r="H18" i="2"/>
  <c r="M62" i="1"/>
  <c r="K64" i="1"/>
  <c r="C65" i="1"/>
  <c r="L65" i="1"/>
  <c r="M66" i="1"/>
  <c r="K67" i="1"/>
  <c r="K68" i="1"/>
  <c r="K69" i="1"/>
  <c r="K70" i="1"/>
  <c r="K71" i="1"/>
  <c r="E9" i="2"/>
  <c r="J9" i="2"/>
  <c r="N9" i="2"/>
  <c r="S9" i="2"/>
  <c r="W9" i="2"/>
  <c r="B10" i="2"/>
  <c r="F10" i="2"/>
  <c r="K10" i="2"/>
  <c r="O10" i="2"/>
  <c r="T10" i="2"/>
  <c r="X10" i="2"/>
  <c r="C11" i="2"/>
  <c r="G11" i="2"/>
  <c r="L11" i="2"/>
  <c r="P11" i="2"/>
  <c r="U11" i="2"/>
  <c r="D12" i="2"/>
  <c r="H12" i="2"/>
  <c r="M12" i="2"/>
  <c r="R12" i="2"/>
  <c r="V12" i="2"/>
  <c r="E13" i="2"/>
  <c r="J13" i="2"/>
  <c r="N13" i="2"/>
  <c r="S13" i="2"/>
  <c r="W13" i="2"/>
  <c r="B14" i="2"/>
  <c r="K14" i="2"/>
  <c r="T14" i="2"/>
  <c r="H19" i="2"/>
  <c r="X37" i="3"/>
  <c r="X39" i="3" s="1"/>
  <c r="X38" i="3"/>
  <c r="X36" i="3"/>
  <c r="I17" i="1" l="1"/>
  <c r="E20" i="1"/>
  <c r="M20" i="1"/>
  <c r="L20" i="1"/>
  <c r="M22" i="1"/>
  <c r="E22" i="1"/>
  <c r="J22" i="1"/>
  <c r="N22" i="1"/>
  <c r="C22" i="1"/>
  <c r="M24" i="1"/>
  <c r="C24" i="1"/>
  <c r="J21" i="1"/>
  <c r="E18" i="1"/>
  <c r="L24" i="1"/>
  <c r="E24" i="1"/>
  <c r="N24" i="1"/>
  <c r="I18" i="1"/>
  <c r="C21" i="1"/>
  <c r="N21" i="1"/>
  <c r="B18" i="1"/>
  <c r="C18" i="1"/>
  <c r="I21" i="1"/>
  <c r="D24" i="1"/>
  <c r="N18" i="1"/>
  <c r="D40" i="1"/>
  <c r="C17" i="1"/>
  <c r="M19" i="1"/>
  <c r="D19" i="1"/>
  <c r="Q19" i="1"/>
  <c r="L19" i="1"/>
  <c r="P23" i="1"/>
  <c r="L23" i="1"/>
  <c r="D23" i="1"/>
  <c r="Q23" i="1"/>
  <c r="N23" i="1"/>
  <c r="N19" i="1"/>
  <c r="P18" i="1"/>
  <c r="D18" i="1"/>
  <c r="L18" i="1"/>
  <c r="Q18" i="1"/>
  <c r="P21" i="1"/>
  <c r="M21" i="1"/>
  <c r="L21" i="1"/>
  <c r="Q21" i="1"/>
  <c r="D21" i="1"/>
  <c r="E21" i="1"/>
  <c r="P17" i="1"/>
  <c r="L17" i="1"/>
  <c r="E17" i="1"/>
  <c r="Q17" i="1"/>
  <c r="D17" i="1"/>
  <c r="M17" i="1"/>
  <c r="J19" i="1"/>
  <c r="C19" i="1"/>
  <c r="I23" i="1"/>
  <c r="I19" i="1"/>
  <c r="M23" i="1"/>
  <c r="E19" i="1"/>
  <c r="J23" i="1"/>
  <c r="J18" i="1"/>
  <c r="B23" i="1"/>
  <c r="B19" i="1"/>
  <c r="N17" i="1"/>
  <c r="E23" i="1"/>
  <c r="P22" i="1"/>
  <c r="L22" i="1"/>
  <c r="D22" i="1"/>
  <c r="Q22" i="1"/>
  <c r="X40" i="3"/>
  <c r="X41" i="3" s="1"/>
  <c r="H66" i="1"/>
  <c r="AI12" i="2"/>
  <c r="AE12" i="2"/>
  <c r="AA12" i="2"/>
  <c r="Z12" i="2" s="1"/>
  <c r="AH11" i="2"/>
  <c r="AD11" i="2"/>
  <c r="AG10" i="2"/>
  <c r="AC10" i="2"/>
  <c r="AF9" i="2"/>
  <c r="AB9" i="2"/>
  <c r="AI8" i="2"/>
  <c r="AE8" i="2"/>
  <c r="AA8" i="2"/>
  <c r="Z8" i="2" s="1"/>
  <c r="AH12" i="2"/>
  <c r="AD12" i="2"/>
  <c r="AG11" i="2"/>
  <c r="AC11" i="2"/>
  <c r="AF10" i="2"/>
  <c r="AB10" i="2"/>
  <c r="AI9" i="2"/>
  <c r="AE9" i="2"/>
  <c r="AA9" i="2"/>
  <c r="Z9" i="2" s="1"/>
  <c r="AH8" i="2"/>
  <c r="AD8" i="2"/>
  <c r="AG12" i="2"/>
  <c r="AC12" i="2"/>
  <c r="AF11" i="2"/>
  <c r="AB11" i="2"/>
  <c r="AI10" i="2"/>
  <c r="AE10" i="2"/>
  <c r="AA10" i="2"/>
  <c r="Z10" i="2" s="1"/>
  <c r="AH9" i="2"/>
  <c r="AD9" i="2"/>
  <c r="AG8" i="2"/>
  <c r="AC8" i="2"/>
  <c r="AF12" i="2"/>
  <c r="AB12" i="2"/>
  <c r="AI11" i="2"/>
  <c r="AE11" i="2"/>
  <c r="AA11" i="2"/>
  <c r="Z11" i="2" s="1"/>
  <c r="AH10" i="2"/>
  <c r="AD10" i="2"/>
  <c r="AG9" i="2"/>
  <c r="AC9" i="2"/>
  <c r="AF8" i="2"/>
  <c r="AB8" i="2"/>
  <c r="H65" i="1"/>
  <c r="H64" i="1"/>
  <c r="H62" i="1"/>
  <c r="N9" i="1"/>
  <c r="J8" i="1"/>
  <c r="J9" i="1"/>
  <c r="G67" i="1"/>
  <c r="H67" i="1" s="1"/>
  <c r="X42" i="3" l="1"/>
  <c r="AB13" i="2"/>
  <c r="AH15" i="2"/>
  <c r="AI13" i="2"/>
  <c r="AE14" i="2"/>
  <c r="AD14" i="2"/>
  <c r="AE13" i="2"/>
  <c r="AG15" i="2"/>
  <c r="AA14" i="2"/>
  <c r="Z14" i="2" s="1"/>
  <c r="AG13" i="2"/>
  <c r="AF13" i="2"/>
  <c r="AD13" i="2"/>
  <c r="AH14" i="2"/>
  <c r="AG14" i="2"/>
  <c r="AB14" i="2"/>
  <c r="AI14" i="2"/>
  <c r="AC14" i="2"/>
  <c r="AF14" i="2"/>
  <c r="AA13" i="2"/>
  <c r="Z13" i="2" s="1"/>
  <c r="AH13" i="2"/>
  <c r="AB15" i="2"/>
  <c r="AC13" i="2"/>
  <c r="X43" i="3"/>
  <c r="AD17" i="2" l="1"/>
  <c r="AD25" i="2"/>
  <c r="AI19" i="2"/>
  <c r="AC26" i="2"/>
  <c r="AE45" i="2"/>
  <c r="AH26" i="2"/>
  <c r="AB17" i="2"/>
  <c r="AH20" i="2"/>
  <c r="AI24" i="2"/>
  <c r="AC31" i="2"/>
  <c r="AB20" i="2"/>
  <c r="AB28" i="2"/>
  <c r="AC22" i="2"/>
  <c r="AG28" i="2"/>
  <c r="AI47" i="2"/>
  <c r="AF29" i="2"/>
  <c r="AE15" i="2"/>
  <c r="AG27" i="2"/>
  <c r="AH37" i="2"/>
  <c r="AE23" i="2"/>
  <c r="AB39" i="2"/>
  <c r="AE20" i="2"/>
  <c r="AG39" i="2"/>
  <c r="AA46" i="2"/>
  <c r="Z46" i="2" s="1"/>
  <c r="AF38" i="2"/>
  <c r="AF46" i="2"/>
  <c r="AA37" i="2"/>
  <c r="Z37" i="2" s="1"/>
  <c r="AE43" i="2"/>
  <c r="AD40" i="2"/>
  <c r="AA16" i="2"/>
  <c r="Z16" i="2" s="1"/>
  <c r="AH19" i="2"/>
  <c r="AH35" i="2"/>
  <c r="AE47" i="2"/>
  <c r="AB37" i="2"/>
  <c r="AF15" i="2"/>
  <c r="AD16" i="2"/>
  <c r="AE17" i="2"/>
  <c r="AE30" i="2"/>
  <c r="AI36" i="2"/>
  <c r="AD27" i="2"/>
  <c r="AD35" i="2"/>
  <c r="AI27" i="2"/>
  <c r="AC34" i="2"/>
  <c r="AH28" i="2"/>
  <c r="AH36" i="2"/>
  <c r="AE26" i="2"/>
  <c r="AI32" i="2"/>
  <c r="AB22" i="2"/>
  <c r="AB30" i="2"/>
  <c r="AI23" i="2"/>
  <c r="AC30" i="2"/>
  <c r="AF23" i="2"/>
  <c r="AF31" i="2"/>
  <c r="AB19" i="2"/>
  <c r="AA18" i="2"/>
  <c r="Z18" i="2" s="1"/>
  <c r="AH25" i="2"/>
  <c r="AH41" i="2"/>
  <c r="AB27" i="2"/>
  <c r="AB43" i="2"/>
  <c r="AE28" i="2"/>
  <c r="AI34" i="2"/>
  <c r="AF24" i="2"/>
  <c r="AF32" i="2"/>
  <c r="AI25" i="2"/>
  <c r="AC32" i="2"/>
  <c r="AD26" i="2"/>
  <c r="AD34" i="2"/>
  <c r="AA26" i="2"/>
  <c r="Z26" i="2" s="1"/>
  <c r="AE40" i="2"/>
  <c r="AA25" i="2"/>
  <c r="Z25" i="2" s="1"/>
  <c r="AI37" i="2"/>
  <c r="AG17" i="2"/>
  <c r="AC16" i="2"/>
  <c r="AG25" i="2"/>
  <c r="AA32" i="2"/>
  <c r="Z32" i="2" s="1"/>
  <c r="AD21" i="2"/>
  <c r="AD29" i="2"/>
  <c r="AA23" i="2"/>
  <c r="Z23" i="2" s="1"/>
  <c r="AE29" i="2"/>
  <c r="AH22" i="2"/>
  <c r="AH30" i="2"/>
  <c r="AC15" i="2"/>
  <c r="AI15" i="2"/>
  <c r="AE34" i="2"/>
  <c r="AI40" i="2"/>
  <c r="AB32" i="2"/>
  <c r="AB40" i="2"/>
  <c r="AI31" i="2"/>
  <c r="AC38" i="2"/>
  <c r="AF33" i="2"/>
  <c r="AF41" i="2"/>
  <c r="X44" i="3"/>
  <c r="AG41" i="2" s="1"/>
  <c r="AE32" i="2"/>
  <c r="AC45" i="2"/>
  <c r="AH29" i="2"/>
  <c r="AI29" i="2"/>
  <c r="AG42" i="2"/>
  <c r="AB31" i="2"/>
  <c r="AB47" i="2"/>
  <c r="AD18" i="2"/>
  <c r="AG23" i="2"/>
  <c r="AA30" i="2"/>
  <c r="Z30" i="2" s="1"/>
  <c r="AE36" i="2"/>
  <c r="AI42" i="2"/>
  <c r="AF18" i="2"/>
  <c r="AF26" i="2"/>
  <c r="AF34" i="2"/>
  <c r="AF42" i="2"/>
  <c r="AA21" i="2"/>
  <c r="Z21" i="2" s="1"/>
  <c r="AE27" i="2"/>
  <c r="AI33" i="2"/>
  <c r="AC40" i="2"/>
  <c r="AG46" i="2"/>
  <c r="AD28" i="2"/>
  <c r="AD36" i="2"/>
  <c r="AD44" i="2"/>
  <c r="AA17" i="2"/>
  <c r="Z17" i="2" s="1"/>
  <c r="AI30" i="2"/>
  <c r="AG43" i="2"/>
  <c r="AH27" i="2"/>
  <c r="AH43" i="2"/>
  <c r="AC28" i="2"/>
  <c r="AA41" i="2"/>
  <c r="Z41" i="2" s="1"/>
  <c r="AB29" i="2"/>
  <c r="AB45" i="2"/>
  <c r="AD15" i="2"/>
  <c r="AG18" i="2"/>
  <c r="AA15" i="2"/>
  <c r="Z15" i="2" s="1"/>
  <c r="AI20" i="2"/>
  <c r="AC27" i="2"/>
  <c r="AG33" i="2"/>
  <c r="AA40" i="2"/>
  <c r="Z40" i="2" s="1"/>
  <c r="AE46" i="2"/>
  <c r="AD23" i="2"/>
  <c r="AD31" i="2"/>
  <c r="AD39" i="2"/>
  <c r="AD47" i="2"/>
  <c r="AG24" i="2"/>
  <c r="AA31" i="2"/>
  <c r="Z31" i="2" s="1"/>
  <c r="AE37" i="2"/>
  <c r="AI43" i="2"/>
  <c r="AH24" i="2"/>
  <c r="AH32" i="2"/>
  <c r="AH45" i="2" l="1"/>
  <c r="AC21" i="2"/>
  <c r="AF25" i="2"/>
  <c r="AE25" i="2"/>
  <c r="AB24" i="2"/>
  <c r="AA28" i="2"/>
  <c r="Z28" i="2" s="1"/>
  <c r="AH46" i="2"/>
  <c r="AC42" i="2"/>
  <c r="AD45" i="2"/>
  <c r="AI44" i="2"/>
  <c r="AC19" i="2"/>
  <c r="AB41" i="2"/>
  <c r="AH39" i="2"/>
  <c r="AG16" i="2"/>
  <c r="AA45" i="2"/>
  <c r="Z45" i="2" s="1"/>
  <c r="AE19" i="2"/>
  <c r="AG47" i="2"/>
  <c r="AA22" i="2"/>
  <c r="Z22" i="2" s="1"/>
  <c r="AE39" i="2"/>
  <c r="AA42" i="2"/>
  <c r="Z42" i="2" s="1"/>
  <c r="AF47" i="2"/>
  <c r="AA43" i="2"/>
  <c r="Z43" i="2" s="1"/>
  <c r="AB46" i="2"/>
  <c r="AG45" i="2"/>
  <c r="AA20" i="2"/>
  <c r="Z20" i="2" s="1"/>
  <c r="AA47" i="2"/>
  <c r="Z47" i="2" s="1"/>
  <c r="AE21" i="2"/>
  <c r="AD19" i="2"/>
  <c r="AA24" i="2"/>
  <c r="Z24" i="2" s="1"/>
  <c r="AI17" i="2"/>
  <c r="AG34" i="2"/>
  <c r="AC37" i="2"/>
  <c r="AD32" i="2"/>
  <c r="AG30" i="2"/>
  <c r="AF30" i="2"/>
  <c r="AC33" i="2"/>
  <c r="AB23" i="2"/>
  <c r="AH21" i="2"/>
  <c r="AF45" i="2"/>
  <c r="AE41" i="2"/>
  <c r="AB44" i="2"/>
  <c r="AA44" i="2"/>
  <c r="Z44" i="2" s="1"/>
  <c r="AE18" i="2"/>
  <c r="AH42" i="2"/>
  <c r="AA39" i="2"/>
  <c r="Z39" i="2" s="1"/>
  <c r="AD41" i="2"/>
  <c r="AI28" i="2"/>
  <c r="AI16" i="2"/>
  <c r="AE31" i="2"/>
  <c r="AI46" i="2"/>
  <c r="AH16" i="2"/>
  <c r="AD30" i="2"/>
  <c r="AE35" i="2"/>
  <c r="AF28" i="2"/>
  <c r="AA38" i="2"/>
  <c r="Z38" i="2" s="1"/>
  <c r="AI18" i="2"/>
  <c r="AB35" i="2"/>
  <c r="AC20" i="2"/>
  <c r="AG35" i="2"/>
  <c r="AF43" i="2"/>
  <c r="AF27" i="2"/>
  <c r="AE33" i="2"/>
  <c r="AB34" i="2"/>
  <c r="AA36" i="2"/>
  <c r="Z36" i="2" s="1"/>
  <c r="AF17" i="2"/>
  <c r="AC17" i="2"/>
  <c r="AE22" i="2"/>
  <c r="AH47" i="2"/>
  <c r="AA34" i="2"/>
  <c r="Z34" i="2" s="1"/>
  <c r="AD46" i="2"/>
  <c r="AD22" i="2"/>
  <c r="AA29" i="2"/>
  <c r="Z29" i="2" s="1"/>
  <c r="AF36" i="2"/>
  <c r="AE44" i="2"/>
  <c r="AC25" i="2"/>
  <c r="AI45" i="2"/>
  <c r="AH33" i="2"/>
  <c r="AE24" i="2"/>
  <c r="AD20" i="2"/>
  <c r="AC46" i="2"/>
  <c r="AA27" i="2"/>
  <c r="Z27" i="2" s="1"/>
  <c r="AB26" i="2"/>
  <c r="AE42" i="2"/>
  <c r="AC23" i="2"/>
  <c r="AC35" i="2"/>
  <c r="AF16" i="2"/>
  <c r="AB33" i="2"/>
  <c r="AC44" i="2"/>
  <c r="AH31" i="2"/>
  <c r="AG19" i="2"/>
  <c r="AD38" i="2"/>
  <c r="AI41" i="2"/>
  <c r="AG22" i="2"/>
  <c r="AF44" i="2"/>
  <c r="AF20" i="2"/>
  <c r="AG31" i="2"/>
  <c r="AB21" i="2"/>
  <c r="AA33" i="2"/>
  <c r="Z33" i="2" s="1"/>
  <c r="AH17" i="2"/>
  <c r="AC18" i="2"/>
  <c r="AF35" i="2"/>
  <c r="AI39" i="2"/>
  <c r="AG20" i="2"/>
  <c r="AB42" i="2"/>
  <c r="AB18" i="2"/>
  <c r="AG29" i="2"/>
  <c r="AE16" i="2"/>
  <c r="AG44" i="2"/>
  <c r="AA19" i="2"/>
  <c r="Z19" i="2" s="1"/>
  <c r="AC47" i="2"/>
  <c r="AG21" i="2"/>
  <c r="AH38" i="2"/>
  <c r="AI35" i="2"/>
  <c r="AD37" i="2"/>
  <c r="AE38" i="2"/>
  <c r="AH18" i="2"/>
  <c r="AB25" i="2"/>
  <c r="AH23" i="2"/>
  <c r="AD42" i="2"/>
  <c r="AG38" i="2"/>
  <c r="AF40" i="2"/>
  <c r="AC41" i="2"/>
  <c r="AB16" i="2"/>
  <c r="AG26" i="2"/>
  <c r="AC29" i="2"/>
  <c r="AF39" i="2"/>
  <c r="AG36" i="2"/>
  <c r="AB38" i="2"/>
  <c r="AC39" i="2"/>
  <c r="AH44" i="2"/>
  <c r="AG40" i="2"/>
  <c r="AD43" i="2"/>
  <c r="AC43" i="2"/>
  <c r="AF21" i="2"/>
  <c r="AI21" i="2"/>
  <c r="AI22" i="2"/>
  <c r="AD24" i="2"/>
  <c r="AC24" i="2"/>
  <c r="AF22" i="2"/>
  <c r="AI26" i="2"/>
  <c r="AC36" i="2"/>
  <c r="AI38" i="2"/>
  <c r="AF37" i="2"/>
  <c r="AA35" i="2"/>
  <c r="Z35" i="2" s="1"/>
  <c r="AB36" i="2"/>
  <c r="AG37" i="2"/>
  <c r="AF19" i="2"/>
  <c r="AH34" i="2"/>
  <c r="AG32" i="2"/>
  <c r="AD33" i="2"/>
  <c r="AH4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Vinh Phan</author>
  </authors>
  <commentList>
    <comment ref="P2" authorId="0" shapeId="0" xr:uid="{00000000-0006-0000-0000-000001000000}">
      <text>
        <r>
          <rPr>
            <sz val="10"/>
            <rFont val="Tahoma"/>
            <family val="2"/>
          </rPr>
          <t>Chọn năm báo cáo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Vinh Phan</author>
  </authors>
  <commentList>
    <comment ref="T2" authorId="0" shapeId="0" xr:uid="{00000000-0006-0000-0100-000001000000}">
      <text>
        <r>
          <rPr>
            <sz val="10"/>
            <rFont val="Tahoma"/>
            <family val="2"/>
          </rPr>
          <t>Chọn năm cần xem</t>
        </r>
      </text>
    </comment>
    <comment ref="W2" authorId="0" shapeId="0" xr:uid="{00000000-0006-0000-0100-000002000000}">
      <text>
        <r>
          <rPr>
            <sz val="10"/>
            <rFont val="Tahoma"/>
            <family val="2"/>
          </rPr>
          <t>Chọn quý 1–4</t>
        </r>
      </text>
    </comment>
  </commentList>
</comments>
</file>

<file path=xl/sharedStrings.xml><?xml version="1.0" encoding="utf-8"?>
<sst xmlns="http://schemas.openxmlformats.org/spreadsheetml/2006/main" count="589" uniqueCount="295">
  <si>
    <t>DASHBOARD ĐÀO TẠO</t>
  </si>
  <si>
    <t>NĂM BÁO CÁO</t>
  </si>
  <si>
    <t xml:space="preserve">Thiết kế: Vinh Phan  |  vinhphan.io.vn  |  Building Great Teams Through Data &amp; People</t>
  </si>
  <si>
    <t>TỔNG SỐ KHÓA HỌC</t>
  </si>
  <si>
    <t>TỶ LỆ THỰC HIỆN KẾ HOẠCH</t>
  </si>
  <si>
    <t>GIỜ ĐÀO TẠO BÌNH QUÂN / NV</t>
  </si>
  <si>
    <t>LƯỢT HỌC VIÊN</t>
  </si>
  <si>
    <t>TỶ LỆ THAM DỰ</t>
  </si>
  <si>
    <t>ĐIỂM HÀI LÒNG TRUNG BÌNH</t>
  </si>
  <si>
    <t>NGÂN SÁCH ĐÃ SỬ DỤNG</t>
  </si>
  <si>
    <t>CHI PHÍ / GIỜ-NGƯỜI (đ)</t>
  </si>
  <si>
    <t xml:space="preserve">KHÓA HỌC SẮP DIỄN RA (8 khóa gần nhất tính từ hôm nay)</t>
  </si>
  <si>
    <t>Bắt đầu</t>
  </si>
  <si>
    <t>Kết thúc</t>
  </si>
  <si>
    <t>Mã</t>
  </si>
  <si>
    <t>Tên khóa học</t>
  </si>
  <si>
    <t>Loại</t>
  </si>
  <si>
    <t>Giảng viên</t>
  </si>
  <si>
    <t>Đối tượng</t>
  </si>
  <si>
    <t>Hình thức</t>
  </si>
  <si>
    <t>Địa điểm</t>
  </si>
  <si>
    <t>HV KH</t>
  </si>
  <si>
    <t>Còn</t>
  </si>
  <si>
    <t>THEO NGUỒN GIẢNG VIÊN</t>
  </si>
  <si>
    <t>Tháng</t>
  </si>
  <si>
    <t>Khóa KH</t>
  </si>
  <si>
    <t>Hoàn thành</t>
  </si>
  <si>
    <t>Giờ lớp</t>
  </si>
  <si>
    <t>HV kế hoạch</t>
  </si>
  <si>
    <t>HV thực tế</t>
  </si>
  <si>
    <t>Tỷ lệ TD</t>
  </si>
  <si>
    <t>Chi phí
(tr đ)</t>
  </si>
  <si>
    <t>CP lũy kế
(tr đ)</t>
  </si>
  <si>
    <t>NS lũy kế
(tr đ)</t>
  </si>
  <si>
    <t>Nguồn</t>
  </si>
  <si>
    <t>Khóa</t>
  </si>
  <si>
    <t>% chi phí</t>
  </si>
  <si>
    <t>T1</t>
  </si>
  <si>
    <t>Nội bộ</t>
  </si>
  <si>
    <t>T2</t>
  </si>
  <si>
    <t>Thuê ngoài</t>
  </si>
  <si>
    <t>T3</t>
  </si>
  <si>
    <t>T4</t>
  </si>
  <si>
    <t>T5</t>
  </si>
  <si>
    <t>THEO HÌNH THỨC</t>
  </si>
  <si>
    <t>T6</t>
  </si>
  <si>
    <t>Lượt HV</t>
  </si>
  <si>
    <t>Điểm TB</t>
  </si>
  <si>
    <t>T7</t>
  </si>
  <si>
    <t>Offline</t>
  </si>
  <si>
    <t>T8</t>
  </si>
  <si>
    <t>Online</t>
  </si>
  <si>
    <t>T9</t>
  </si>
  <si>
    <t>Hybrid</t>
  </si>
  <si>
    <t>T10</t>
  </si>
  <si>
    <t>T11</t>
  </si>
  <si>
    <t>T12</t>
  </si>
  <si>
    <t>Cả năm</t>
  </si>
  <si>
    <t>BIỂU ĐỒ TIẾN ĐỘ &amp; NGÂN SÁCH</t>
  </si>
  <si>
    <t>THEO LOẠI KHÓA HỌC</t>
  </si>
  <si>
    <t>THEO ĐỐI TƯỢNG (PHÒNG BAN)</t>
  </si>
  <si>
    <t>Phòng ban</t>
  </si>
  <si>
    <t>Giờ-người</t>
  </si>
  <si>
    <t>Tổng</t>
  </si>
  <si>
    <t>LỊCH ĐÀO TẠO THEO QUÝ</t>
  </si>
  <si>
    <t>NĂM</t>
  </si>
  <si>
    <t>QUÝ</t>
  </si>
  <si>
    <t>Chú thích:</t>
  </si>
  <si>
    <t>Technical</t>
  </si>
  <si>
    <t>Soft Skill</t>
  </si>
  <si>
    <t>Compliance</t>
  </si>
  <si>
    <t>Leadership</t>
  </si>
  <si>
    <t>Hội nhập</t>
  </si>
  <si>
    <t>Nhiều khóa</t>
  </si>
  <si>
    <t>Hôm nay</t>
  </si>
  <si>
    <t>#</t>
  </si>
  <si>
    <t>Trạng thái</t>
  </si>
  <si>
    <t>CN</t>
  </si>
  <si>
    <t>SỐ KHÓA HỌC</t>
  </si>
  <si>
    <t>TỔNG GIỜ ĐÀO TẠO</t>
  </si>
  <si>
    <t>CHI PHÍ (triệu đ)</t>
  </si>
  <si>
    <t>ĐIỂM HÀI LÒNG TB</t>
  </si>
  <si>
    <t>ĐANG / SẮP DIỄN RA</t>
  </si>
  <si>
    <t>SỐ NGÀY CÓ ĐÀO TẠO</t>
  </si>
  <si>
    <t>DỮ LIỆU KHÓA HỌC</t>
  </si>
  <si>
    <t xml:space="preserve">Cột tiêu đề xanh đậm, nền vàng nhạt: ô nhập liệu.     Cột tiêu đề xám: có công thức, đừng gõ đè.     Thêm khóa mới thì điền tiếp vào dòng trống bên dưới (tối đa 200 khóa).</t>
  </si>
  <si>
    <t>STT</t>
  </si>
  <si>
    <t>Mã khóa</t>
  </si>
  <si>
    <t>Ngày bắt đầu</t>
  </si>
  <si>
    <t>Ngày kết thúc</t>
  </si>
  <si>
    <t>Số ngày
làm việc</t>
  </si>
  <si>
    <t>Giờ /
ngày</t>
  </si>
  <si>
    <t>Tổng giờ</t>
  </si>
  <si>
    <t>Nguồn GV</t>
  </si>
  <si>
    <t>Đối tượng
(Phòng ban)</t>
  </si>
  <si>
    <t>HV kế
hoạch</t>
  </si>
  <si>
    <t>HV thực
tế</t>
  </si>
  <si>
    <t>Tỷ lệ
tham dự</t>
  </si>
  <si>
    <t>Chi phí (VNĐ)</t>
  </si>
  <si>
    <t>Điểm đánh
giá (1-5)</t>
  </si>
  <si>
    <t>Hủy /
Hoãn</t>
  </si>
  <si>
    <t>Quý</t>
  </si>
  <si>
    <t>Năm</t>
  </si>
  <si>
    <t>Thứ tự
(Lịch)</t>
  </si>
  <si>
    <t>Ghi chú</t>
  </si>
  <si>
    <t>Giờ -
người</t>
  </si>
  <si>
    <t>Key
sắp tới</t>
  </si>
  <si>
    <t>DT26-001</t>
  </si>
  <si>
    <t>Excel cho phân tích dữ liệu</t>
  </si>
  <si>
    <t>Võ Minh Đức</t>
  </si>
  <si>
    <t>MS Teams</t>
  </si>
  <si>
    <t>Tài chính</t>
  </si>
  <si>
    <t>DT26-002</t>
  </si>
  <si>
    <t>GMP cơ bản cho nhân viên mới</t>
  </si>
  <si>
    <t>Trần Thị Bình</t>
  </si>
  <si>
    <t>Phòng họp A</t>
  </si>
  <si>
    <t>Sản xuất</t>
  </si>
  <si>
    <t>DT26-003</t>
  </si>
  <si>
    <t>Kỹ năng bán hàng OTC</t>
  </si>
  <si>
    <t>Viện Kiểm nghiệm</t>
  </si>
  <si>
    <t>Hội trường + Teams</t>
  </si>
  <si>
    <t>Kinh doanh</t>
  </si>
  <si>
    <t>DT26-004</t>
  </si>
  <si>
    <t>Hội nhập nhân viên mới – Đợt 1</t>
  </si>
  <si>
    <t>Đặng Ngọc Hà</t>
  </si>
  <si>
    <t>Toàn công ty</t>
  </si>
  <si>
    <t>DT26-005</t>
  </si>
  <si>
    <t>Data Integrity &amp; ALCOA+</t>
  </si>
  <si>
    <t>Xưởng SX</t>
  </si>
  <si>
    <t>QA/QC</t>
  </si>
  <si>
    <t>DT26-006</t>
  </si>
  <si>
    <t>Lãnh đạo cấp trung – Module 1</t>
  </si>
  <si>
    <t>Công ty ABC Training</t>
  </si>
  <si>
    <t>Ban Giám đốc</t>
  </si>
  <si>
    <t>DT26-007</t>
  </si>
  <si>
    <t>An toàn vệ sinh lao động nhóm 3</t>
  </si>
  <si>
    <t>Phòng họp B</t>
  </si>
  <si>
    <t>DT26-008</t>
  </si>
  <si>
    <t>Power BI Dashboard</t>
  </si>
  <si>
    <t>Nhân sự</t>
  </si>
  <si>
    <t>Hoãn</t>
  </si>
  <si>
    <t>Hoãn do GV bận</t>
  </si>
  <si>
    <t>DT26-009</t>
  </si>
  <si>
    <t>GDP – Thực hành tốt phân phối thuốc</t>
  </si>
  <si>
    <t>Kho vận</t>
  </si>
  <si>
    <t>DT26-010</t>
  </si>
  <si>
    <t>Kỹ năng thuyết trình hiệu quả</t>
  </si>
  <si>
    <t>Marketing</t>
  </si>
  <si>
    <t>DT26-011</t>
  </si>
  <si>
    <t>Hội nhập nhân viên mới – Đợt 2</t>
  </si>
  <si>
    <t>Phạm Thu Dung</t>
  </si>
  <si>
    <t>DT26-012</t>
  </si>
  <si>
    <t>Coaching &amp; Feedback cho quản lý</t>
  </si>
  <si>
    <t>DT26-013</t>
  </si>
  <si>
    <t>Vận hành máy HPLC</t>
  </si>
  <si>
    <t>Hội trường</t>
  </si>
  <si>
    <t>DT26-014</t>
  </si>
  <si>
    <t>Quản lý thời gian</t>
  </si>
  <si>
    <t>DT26-015</t>
  </si>
  <si>
    <t>Luật Dược &amp; quy định quảng cáo thuốc</t>
  </si>
  <si>
    <t>DT26-016</t>
  </si>
  <si>
    <t>Phòng cháy chữa cháy định kỳ</t>
  </si>
  <si>
    <t>DT26-017</t>
  </si>
  <si>
    <t>Bảo mật thông tin &amp; ISO 27001</t>
  </si>
  <si>
    <t>IT</t>
  </si>
  <si>
    <t>DT26-018</t>
  </si>
  <si>
    <t>Lãnh đạo cấp trung – Module 2</t>
  </si>
  <si>
    <t>DT26-019</t>
  </si>
  <si>
    <t>Hội nhập nhân viên mới – Đợt 3</t>
  </si>
  <si>
    <t>DT26-020</t>
  </si>
  <si>
    <t>Đánh giá nội bộ GMP</t>
  </si>
  <si>
    <t>DT26-021</t>
  </si>
  <si>
    <t>SQL nâng cao</t>
  </si>
  <si>
    <t>DT26-022</t>
  </si>
  <si>
    <t>Kỹ năng đàm phán với nhà thuốc</t>
  </si>
  <si>
    <t>DT26-023</t>
  </si>
  <si>
    <t>Trí tuệ cảm xúc (EQ)</t>
  </si>
  <si>
    <t>DT26-024</t>
  </si>
  <si>
    <t>Quản lý kho theo FEFO</t>
  </si>
  <si>
    <t>Nguyễn Văn An</t>
  </si>
  <si>
    <t>DT26-025</t>
  </si>
  <si>
    <t>Hội nhập nhân viên mới – Đợt 4</t>
  </si>
  <si>
    <t>DT26-026</t>
  </si>
  <si>
    <t>Giải quyết vấn đề &amp; ra quyết định</t>
  </si>
  <si>
    <t>DT26-027</t>
  </si>
  <si>
    <t>AI cho công việc văn phòng</t>
  </si>
  <si>
    <t>DT26-028</t>
  </si>
  <si>
    <t>Lãnh đạo cấp trung – Module 3</t>
  </si>
  <si>
    <t>DT26-029</t>
  </si>
  <si>
    <t>Cập nhật GMP-WHO mới</t>
  </si>
  <si>
    <t>DT26-030</t>
  </si>
  <si>
    <t>Chăm sóc khách hàng B2B</t>
  </si>
  <si>
    <t>DT26-036</t>
  </si>
  <si>
    <t>Kỹ năng viết email chuyên nghiệp</t>
  </si>
  <si>
    <t>Khóa đang diễn ra (demo)</t>
  </si>
  <si>
    <t>DT26-031</t>
  </si>
  <si>
    <t>Thẩm định quy trình &amp; thiết bị</t>
  </si>
  <si>
    <t>Hủy</t>
  </si>
  <si>
    <t>Hủy do không đủ học viên</t>
  </si>
  <si>
    <t>DT26-032</t>
  </si>
  <si>
    <t>Kỹ năng phỏng vấn cho Hiring Manager</t>
  </si>
  <si>
    <t>DT26-033</t>
  </si>
  <si>
    <t>An toàn hóa chất phòng thí nghiệm</t>
  </si>
  <si>
    <t>Trùng ngày với khóa khác (demo)</t>
  </si>
  <si>
    <t>DT26-034</t>
  </si>
  <si>
    <t>Hội nhập nhân viên mới – Đợt 5</t>
  </si>
  <si>
    <t>DT26-035</t>
  </si>
  <si>
    <t>Quản lý dự án Agile</t>
  </si>
  <si>
    <t>DT26-037</t>
  </si>
  <si>
    <t>Tổng kết &amp; lập kế hoạch đào tạo 2027</t>
  </si>
  <si>
    <t>DT26-038</t>
  </si>
  <si>
    <t>Phân tích tài chính cho quản lý</t>
  </si>
  <si>
    <t>DANH MỤC</t>
  </si>
  <si>
    <t>Loại khóa học</t>
  </si>
  <si>
    <t>Màu trên lịch</t>
  </si>
  <si>
    <t>Hủy / Hoãn</t>
  </si>
  <si>
    <t>Lê Hoàng Cường</t>
  </si>
  <si>
    <t>(tự động)</t>
  </si>
  <si>
    <t xml:space="preserve">Muốn thêm giá trị thì gõ vào ô trống cuối cột (tối đa đến dòng 35), ô xổ xuống bên sheet Data sẽ tự nhận. Màu của 5 loại khóa đang gắn trong Conditional Formatting, nên nếu đổi tên loại khóa thì nhớ vào Home &gt; Conditional Formatting sửa luôn.</t>
  </si>
  <si>
    <t>CÀI ĐẶT</t>
  </si>
  <si>
    <t>THÔNG TIN ĐƠN VỊ</t>
  </si>
  <si>
    <t>LOGO CỦA BẠN</t>
  </si>
  <si>
    <t>Tên công ty</t>
  </si>
  <si>
    <t>CÔNG TY CỔ PHẦN DƯỢC PHẨM ABC</t>
  </si>
  <si>
    <t>Bộ phận phụ trách</t>
  </si>
  <si>
    <t>Phòng Đào tạo &amp; Phát triển (L&amp;D)</t>
  </si>
  <si>
    <t>CHỈ TIÊU ĐÀO TẠO</t>
  </si>
  <si>
    <t>Tổng nhân sự (người)</t>
  </si>
  <si>
    <t>Mục tiêu giờ đào tạo / NV / năm</t>
  </si>
  <si>
    <t>Mục tiêu tỷ lệ tham dự</t>
  </si>
  <si>
    <t>Mục tiêu điểm hài lòng (thang 5)</t>
  </si>
  <si>
    <t>Cách đổi logo sang logo công ty bạn:</t>
  </si>
  <si>
    <t>NGÂN SÁCH ĐÀO TẠO THEO NĂM (VNĐ)</t>
  </si>
  <si>
    <t xml:space="preserve">1. Bấm chuột phải vào logo, chọn Change Picture (Thay đổi ảnh)</t>
  </si>
  <si>
    <t>Ngân sách (VNĐ)</t>
  </si>
  <si>
    <t xml:space="preserve">2. Chọn From a File / This Device rồi chọn file logo (nên dùng PNG nền trong suốt)</t>
  </si>
  <si>
    <t xml:space="preserve">3. Logo mới giữ nguyên vị trí và kích thước. Các sheet còn lại làm tương tự:</t>
  </si>
  <si>
    <t xml:space="preserve">    Dashboard, Lịch, Data, Cài đặt, Hướng dẫn</t>
  </si>
  <si>
    <t xml:space="preserve">Không cần logo thì bấm chọn logo rồi nhấn Delete.</t>
  </si>
  <si>
    <t xml:space="preserve">Tên công ty và bộ phận ở tiêu đề các sheet lấy từ ô C7, C8 bên trái.</t>
  </si>
  <si>
    <t xml:space="preserve">Ô nền vàng nhạt là ô được sửa. Các sheet khác lấy thông tin từ đây.</t>
  </si>
  <si>
    <t>HƯỚNG DẪN SỬ DỤNG</t>
  </si>
  <si>
    <t>BẮT ĐẦU NHANH</t>
  </si>
  <si>
    <t>1</t>
  </si>
  <si>
    <t>Cài đặt</t>
  </si>
  <si>
    <t xml:space="preserve">Điền tên công ty, bộ phận, tổng nhân sự, chỉ tiêu và ngân sách năm. Đổi logo theo hướng dẫn ngay trong sheet.</t>
  </si>
  <si>
    <t>2</t>
  </si>
  <si>
    <t>Danh mục</t>
  </si>
  <si>
    <t xml:space="preserve">Sửa danh sách phòng ban, giảng viên, hình thức... cho đúng đơn vị mình. Ô xổ xuống ở sheet Data lấy từ đây.</t>
  </si>
  <si>
    <t>3</t>
  </si>
  <si>
    <t>Data</t>
  </si>
  <si>
    <t xml:space="preserve">Xóa dữ liệu mẫu ở các cột nhập (tiêu đề xanh đậm), sau đó nhập khóa học thật, mỗi dòng một khóa.</t>
  </si>
  <si>
    <t>4</t>
  </si>
  <si>
    <t>Lịch / Dashboard</t>
  </si>
  <si>
    <t xml:space="preserve">Chọn Năm / Quý ở thanh tiêu đề, số liệu sẽ tự cập nhật theo.</t>
  </si>
  <si>
    <t>CÁC SHEET</t>
  </si>
  <si>
    <t>Dashboard</t>
  </si>
  <si>
    <t xml:space="preserve">8 chỉ số KPI so với chỉ tiêu (xanh là đạt, đỏ là chưa đạt), 8 khóa sắp diễn ra, tiến độ theo tháng, ngân sách lũy kế, phân tích theo nguồn GV, hình thức, loại khóa, phòng ban và 4 biểu đồ.</t>
  </si>
  <si>
    <t>Lịch</t>
  </si>
  <si>
    <t xml:space="preserve">Lịch 3 tháng của quý đang chọn, tô màu theo loại khóa. Ô cam là ngày có từ 2 khóa trở lên, viền đỏ là hôm nay. Bên phải là danh sách khóa trong quý, bên dưới là KPI của quý.</t>
  </si>
  <si>
    <t xml:space="preserve">Chỗ duy nhất cần nhập liệu. File có kiểm tra dữ liệu (ngày KT không được trước ngày BĐ, điểm từ 1 đến 5...). Tên khóa chữ cam là bị trùng lịch, tỷ lệ tham dự chữ đỏ là thấp hơn mục tiêu.</t>
  </si>
  <si>
    <t>Danh mục / Cài đặt</t>
  </si>
  <si>
    <t xml:space="preserve">Danh sách cho ô xổ xuống, thông tin đơn vị, chỉ tiêu, ngân sách và logo.</t>
  </si>
  <si>
    <t>CÁCH TÍNH</t>
  </si>
  <si>
    <t xml:space="preserve">Tự đổi theo ngày hôm nay: Sắp diễn ra → Đang diễn ra → Đã hoàn thành. Nếu chọn Hủy/Hoãn thì khóa đó không hiện trên lịch và không tính vào KPI.</t>
  </si>
  <si>
    <t>Tỷ lệ thực hiện KH</t>
  </si>
  <si>
    <t>Số khóa đã hoàn thành ÷ số khóa đã đến hạn (ngày kết thúc &lt; hôm nay, kể cả khóa bị hủy/hoãn).</t>
  </si>
  <si>
    <t>Tổng giờ lớp × số học viên thực tế. Giờ ĐT bình quân/NV = tổng giờ-người ÷ tổng nhân sự.</t>
  </si>
  <si>
    <t>Tỷ lệ tham dự</t>
  </si>
  <si>
    <t>HV thực tế ÷ HV kế hoạch, chỉ tính khóa đã hoàn thành.</t>
  </si>
  <si>
    <t>Ngân sách</t>
  </si>
  <si>
    <t xml:space="preserve">Đã dùng = chi phí các khóa đã hoàn thành ÷ ngân sách năm. Cam kết còn lại là chi phí của các khóa chưa diễn ra.</t>
  </si>
  <si>
    <t>Năm khác</t>
  </si>
  <si>
    <t xml:space="preserve">Cứ nhập khóa của năm đó vào Data rồi chọn năm ở thanh tiêu đề. Nhiều năm dùng chung một sheet Data, không cần tách file.</t>
  </si>
  <si>
    <t>TÙY CHỈNH LOGO</t>
  </si>
  <si>
    <t>Đổi logo</t>
  </si>
  <si>
    <t xml:space="preserve">Bấm chuột phải vào logo góc trái &gt; Change Picture &gt; From a File, chọn logo công ty. Mỗi sheet làm một lần.</t>
  </si>
  <si>
    <t>Tương thích</t>
  </si>
  <si>
    <t xml:space="preserve">File chỉ dùng hàm thông dụng, không dùng hàm mảng động (SEQUENCE, FILTER...) nên mở được trên Excel 2010 trở lên và Google Sheets.</t>
  </si>
  <si>
    <t xml:space="preserve">Đơn vị đào tạo kỹ năng</t>
  </si>
  <si>
    <t xml:space="preserve">Trưởng, phó phòng</t>
  </si>
  <si>
    <t xml:space="preserve">TT Huấn luyện ATVSLĐ</t>
  </si>
  <si>
    <t xml:space="preserve">Huấn luyện lần đầu, có sát hạch</t>
  </si>
  <si>
    <t xml:space="preserve">Hoãn vì trùng đợt tái đánh giá GMP</t>
  </si>
  <si>
    <t xml:space="preserve">Cho quản lý trực tiếp</t>
  </si>
  <si>
    <t xml:space="preserve">Viện Kiểm nghiệm thuốc</t>
  </si>
  <si>
    <t xml:space="preserve">Phòng QC</t>
  </si>
  <si>
    <t xml:space="preserve">Đơn vị huấn luyện PCCC</t>
  </si>
  <si>
    <t xml:space="preserve">Sân nhà máy</t>
  </si>
  <si>
    <t xml:space="preserve">Có diễn tập thực tế</t>
  </si>
  <si>
    <t xml:space="preserve">Kho thành phẩm</t>
  </si>
  <si>
    <t xml:space="preserve">Cho tổ trưởng, trưởng ca</t>
  </si>
  <si>
    <t xml:space="preserve">Chuyên gia tư vấn GMP</t>
  </si>
  <si>
    <t xml:space="preserve">Học 3 buổi chiều</t>
  </si>
  <si>
    <t xml:space="preserve">Hủy, gộp vào kế hoạch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</si>
</sst>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dd/mm/yyyy"/>
    <numFmt numFmtId="166" formatCode="#,##0.0,,;\-#,##0.0,,;\-"/>
    <numFmt numFmtId="167" formatCode="mm/dd/yy"/>
    <numFmt numFmtId="168" formatCode="d"/>
    <numFmt numFmtId="169" formatCode="#,##0.0,,"/>
    <numFmt numFmtId="170" formatCode="#,##0;\-#,##0;\-"/>
    <numFmt numFmtId="171" formatCode="0.00000"/>
  </numFmts>
  <fonts count="49" x14ac:knownFonts="1">
    <font>
      <sz val="11"/>
      <color theme="1"/>
      <name val="Tahoma"/>
      <family val="2"/>
      <charset val="1"/>
    </font>
    <font>
      <b/>
      <sz val="20"/>
      <color rgb="FFFFFFFF"/>
      <name val="Tahoma"/>
      <charset val="1"/>
    </font>
    <font>
      <sz val="10.5"/>
      <color rgb="FFBFE3E3"/>
      <name val="Tahoma"/>
      <charset val="1"/>
    </font>
    <font>
      <b/>
      <sz val="9"/>
      <color rgb="FFBFE3E3"/>
      <name val="Tahoma"/>
      <charset val="1"/>
    </font>
    <font>
      <b/>
      <sz val="13"/>
      <color rgb="FF103B44"/>
      <name val="Tahoma"/>
      <charset val="1"/>
    </font>
    <font>
      <i/>
      <sz val="8"/>
      <color rgb="FF6CB6B9"/>
      <name val="Tahoma"/>
      <charset val="1"/>
    </font>
    <font>
      <sz val="9"/>
      <color rgb="FF6CB6B9"/>
      <name val="Tahoma"/>
      <charset val="1"/>
    </font>
    <font>
      <b/>
      <sz val="11"/>
      <color rgb="FF103B44"/>
      <name val="Tahoma"/>
      <charset val="1"/>
    </font>
    <font>
      <b/>
      <sz val="8.5"/>
      <color rgb="FF5B6B70"/>
      <name val="Tahoma"/>
      <charset val="1"/>
    </font>
    <font>
      <b/>
      <sz val="20"/>
      <color rgb="FF103B44"/>
      <name val="Tahoma"/>
      <charset val="1"/>
    </font>
    <font>
      <sz val="8.5"/>
      <color rgb="FF5B6B70"/>
      <name val="Tahoma"/>
      <charset val="1"/>
    </font>
    <font>
      <b/>
      <sz val="9"/>
      <color rgb="FFFFFFFF"/>
      <name val="Tahoma"/>
      <charset val="1"/>
    </font>
    <font>
      <sz val="9.5"/>
      <name val="Tahoma"/>
      <charset val="1"/>
    </font>
    <font>
      <b/>
      <sz val="9.5"/>
      <name val="Tahoma"/>
      <charset val="1"/>
    </font>
    <font>
      <b/>
      <sz val="9.5"/>
      <color rgb="FF2E8B8F"/>
      <name val="Tahoma"/>
      <charset val="1"/>
    </font>
    <font>
      <b/>
      <sz val="9.5"/>
      <color rgb="FF103B44"/>
      <name val="Tahoma"/>
      <charset val="1"/>
    </font>
    <font>
      <b/>
      <sz val="9.5"/>
      <color rgb="FF1B4F72"/>
      <name val="Tahoma"/>
      <charset val="1"/>
    </font>
    <font>
      <sz val="9.5"/>
      <color rgb="FF000000"/>
      <name val="Tahoma"/>
      <charset val="1"/>
    </font>
    <font>
      <b/>
      <sz val="9.5"/>
      <color rgb="FF2F5A1F"/>
      <name val="Tahoma"/>
      <charset val="1"/>
    </font>
    <font>
      <b/>
      <sz val="9.5"/>
      <color rgb="FF7A5B00"/>
      <name val="Tahoma"/>
      <charset val="1"/>
    </font>
    <font>
      <b/>
      <sz val="9.5"/>
      <color rgb="FF4B2A80"/>
      <name val="Tahoma"/>
      <charset val="1"/>
    </font>
    <font>
      <b/>
      <sz val="9.5"/>
      <color rgb="FF0E5E57"/>
      <name val="Tahoma"/>
      <charset val="1"/>
    </font>
    <font>
      <i/>
      <sz val="8"/>
      <color rgb="FF9AA5A5"/>
      <name val="Tahoma"/>
      <charset val="1"/>
    </font>
    <font>
      <sz val="10"/>
      <name val="Tahoma"/>
      <family val="2"/>
    </font>
    <font>
      <b/>
      <sz val="12"/>
      <color rgb="FF103B44"/>
      <name val="Tahoma"/>
      <charset val="1"/>
    </font>
    <font>
      <sz val="8"/>
      <color rgb="FF5B6B70"/>
      <name val="Tahoma"/>
      <charset val="1"/>
    </font>
    <font>
      <b/>
      <sz val="11"/>
      <color rgb="FFFFFFFF"/>
      <name val="Tahoma"/>
      <charset val="1"/>
    </font>
    <font>
      <b/>
      <sz val="8.5"/>
      <color rgb="FF103B44"/>
      <name val="Tahoma"/>
      <charset val="1"/>
    </font>
    <font>
      <b/>
      <sz val="8.5"/>
      <color rgb="FFC0392B"/>
      <name val="Tahoma"/>
      <charset val="1"/>
    </font>
    <font>
      <sz val="9"/>
      <name val="Tahoma"/>
      <charset val="1"/>
    </font>
    <font>
      <sz val="11"/>
      <color rgb="FF2C3E50"/>
      <name val="Tahoma"/>
      <charset val="1"/>
    </font>
    <font>
      <i/>
      <sz val="9"/>
      <color rgb="FF5B6B70"/>
      <name val="Tahoma"/>
      <charset val="1"/>
    </font>
    <font>
      <sz val="9.5"/>
      <color rgb="FF34495E"/>
      <name val="Tahoma"/>
      <charset val="1"/>
    </font>
    <font>
      <sz val="10"/>
      <name val="Tahoma"/>
      <charset val="1"/>
    </font>
    <font>
      <b/>
      <sz val="10"/>
      <color rgb="FF1B4F72"/>
      <name val="Tahoma"/>
      <charset val="1"/>
    </font>
    <font>
      <b/>
      <sz val="10"/>
      <color rgb="FF2F5A1F"/>
      <name val="Tahoma"/>
      <charset val="1"/>
    </font>
    <font>
      <b/>
      <sz val="10"/>
      <color rgb="FF7A5B00"/>
      <name val="Tahoma"/>
      <charset val="1"/>
    </font>
    <font>
      <b/>
      <sz val="10"/>
      <color rgb="FF4B2A80"/>
      <name val="Tahoma"/>
      <charset val="1"/>
    </font>
    <font>
      <b/>
      <sz val="10"/>
      <color rgb="FF0E5E57"/>
      <name val="Tahoma"/>
      <charset val="1"/>
    </font>
    <font>
      <b/>
      <sz val="10"/>
      <color rgb="FF8A3B0E"/>
      <name val="Tahoma"/>
      <charset val="1"/>
    </font>
    <font>
      <sz val="10"/>
      <color rgb="FF5B6B70"/>
      <name val="Tahoma"/>
      <charset val="1"/>
    </font>
    <font>
      <b/>
      <sz val="10"/>
      <color rgb="FF1F4FB4"/>
      <name val="Tahoma"/>
      <charset val="1"/>
    </font>
    <font>
      <b/>
      <sz val="9"/>
      <color rgb="FF103B44"/>
      <name val="Tahoma"/>
      <charset val="1"/>
    </font>
    <font>
      <sz val="9"/>
      <color rgb="FF5B6B70"/>
      <name val="Tahoma"/>
      <charset val="1"/>
    </font>
    <font>
      <b/>
      <sz val="10"/>
      <name val="Tahoma"/>
      <charset val="1"/>
    </font>
    <font>
      <sz val="10"/>
      <color rgb="FF1F4FB4"/>
      <name val="Tahoma"/>
      <charset val="1"/>
    </font>
    <font>
      <b/>
      <sz val="14"/>
      <color rgb="FF6CB6B9"/>
      <name val="Tahoma"/>
      <charset val="1"/>
    </font>
    <font>
      <b/>
      <sz val="10"/>
      <color rgb="FF103B44"/>
      <name val="Tahoma"/>
      <charset val="1"/>
    </font>
    <font>
      <sz val="10"/>
      <color rgb="FF34495E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rgb="FF103B44"/>
        <bgColor rgb="FF2C3E50"/>
      </patternFill>
    </fill>
    <fill>
      <patternFill patternType="solid">
        <fgColor rgb="FFFFFFFF"/>
        <bgColor rgb="FFF7FAFA"/>
      </patternFill>
    </fill>
    <fill>
      <patternFill patternType="solid">
        <fgColor rgb="FF6CB6B9"/>
        <bgColor rgb="FF95A5A6"/>
      </patternFill>
    </fill>
    <fill>
      <patternFill patternType="solid">
        <fgColor rgb="FFF3F8F8"/>
        <bgColor rgb="FFF5F9F9"/>
      </patternFill>
    </fill>
    <fill>
      <patternFill patternType="solid">
        <fgColor rgb="FFF7FAFA"/>
        <bgColor rgb="FFF7F9F9"/>
      </patternFill>
    </fill>
    <fill>
      <patternFill patternType="solid">
        <fgColor rgb="FFE6F2F2"/>
        <bgColor rgb="FFEEF1F1"/>
      </patternFill>
    </fill>
    <fill>
      <patternFill patternType="solid">
        <fgColor rgb="FFA9CFEA"/>
        <bgColor rgb="FFA6E0D9"/>
      </patternFill>
    </fill>
    <fill>
      <patternFill patternType="solid">
        <fgColor rgb="FFBFE3B0"/>
        <bgColor rgb="FFBFE3E3"/>
      </patternFill>
    </fill>
    <fill>
      <patternFill patternType="solid">
        <fgColor rgb="FFFFE08A"/>
        <bgColor rgb="FFFFF1C9"/>
      </patternFill>
    </fill>
    <fill>
      <patternFill patternType="solid">
        <fgColor rgb="FFD8C8F0"/>
        <bgColor rgb="FFC8CFCF"/>
      </patternFill>
    </fill>
    <fill>
      <patternFill patternType="solid">
        <fgColor rgb="FFA6E0D9"/>
        <bgColor rgb="FFBFE3E3"/>
      </patternFill>
    </fill>
    <fill>
      <patternFill patternType="solid">
        <fgColor rgb="FFF6B48C"/>
        <bgColor rgb="FFF8D3D0"/>
      </patternFill>
    </fill>
    <fill>
      <patternFill patternType="solid">
        <fgColor rgb="FF7F8C8D"/>
        <bgColor rgb="FF878787"/>
      </patternFill>
    </fill>
    <fill>
      <patternFill patternType="solid">
        <fgColor rgb="FFEEF1F1"/>
        <bgColor rgb="FFE6F2F2"/>
      </patternFill>
    </fill>
    <fill>
      <patternFill patternType="solid">
        <fgColor rgb="FFFFF8E1"/>
        <bgColor rgb="FFFFFBEF"/>
      </patternFill>
    </fill>
    <fill>
      <patternFill patternType="solid">
        <fgColor rgb="FFFFFBEF"/>
        <bgColor rgb="FFFFF8E1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6CB6B9"/>
      </bottom>
      <diagonal/>
    </border>
    <border>
      <left style="thick">
        <color rgb="FFFFFFFF"/>
      </left>
      <right style="thick">
        <color rgb="FFFFFFFF"/>
      </right>
      <top style="thick">
        <color rgb="FF2B8C8E"/>
      </top>
      <bottom/>
      <diagonal/>
    </border>
    <border>
      <left style="thick">
        <color rgb="FFFFFFFF"/>
      </left>
      <right style="thick">
        <color rgb="FFFFFFFF"/>
      </right>
      <top style="thick">
        <color rgb="FF24A4D2"/>
      </top>
      <bottom/>
      <diagonal/>
    </border>
    <border>
      <left style="thick">
        <color rgb="FFFFFFFF"/>
      </left>
      <right style="thick">
        <color rgb="FFFFFFFF"/>
      </right>
      <top style="thick">
        <color rgb="FF8E44AD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ck">
        <color rgb="FF1E8449"/>
      </top>
      <bottom/>
      <diagonal/>
    </border>
    <border>
      <left style="thick">
        <color rgb="FFFFFFFF"/>
      </left>
      <right style="thick">
        <color rgb="FFFFFFFF"/>
      </right>
      <top style="thick">
        <color rgb="FFF1C40F"/>
      </top>
      <bottom/>
      <diagonal/>
    </border>
    <border>
      <left style="thick">
        <color rgb="FFFFFFFF"/>
      </left>
      <right style="thick">
        <color rgb="FFFFFFFF"/>
      </right>
      <top style="thick">
        <color rgb="FFE67E22"/>
      </top>
      <bottom/>
      <diagonal/>
    </border>
    <border>
      <left style="thick">
        <color rgb="FFFFFFFF"/>
      </left>
      <right style="thick">
        <color rgb="FFFFFFFF"/>
      </right>
      <top style="thick">
        <color rgb="FFC0392B"/>
      </top>
      <bottom/>
      <diagonal/>
    </border>
    <border>
      <left style="thin">
        <color rgb="FF103B44"/>
      </left>
      <right style="thin">
        <color rgb="FF2C5560"/>
      </right>
      <top/>
      <bottom/>
      <diagonal/>
    </border>
    <border>
      <left/>
      <right/>
      <top/>
      <bottom style="thin">
        <color rgb="FFE3ECEC"/>
      </bottom>
      <diagonal/>
    </border>
    <border>
      <left/>
      <right/>
      <top style="medium">
        <color rgb="FF6CB6B9"/>
      </top>
      <bottom/>
      <diagonal/>
    </border>
    <border>
      <left/>
      <right/>
      <top style="thin">
        <color rgb="FFD5E3E3"/>
      </top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C0392B"/>
      </left>
      <right style="medium">
        <color rgb="FFC0392B"/>
      </right>
      <top style="medium">
        <color rgb="FFC0392B"/>
      </top>
      <bottom style="medium">
        <color rgb="FFC0392B"/>
      </bottom>
      <diagonal/>
    </border>
    <border>
      <left/>
      <right/>
      <top/>
      <bottom style="thin">
        <color rgb="FF6CB6B9"/>
      </bottom>
      <diagonal/>
    </border>
    <border>
      <left style="thin">
        <color rgb="FFE3ECEC"/>
      </left>
      <right style="thin">
        <color rgb="FFE3ECEC"/>
      </right>
      <top style="thin">
        <color rgb="FFE3ECEC"/>
      </top>
      <bottom style="thin">
        <color rgb="FFE3ECEC"/>
      </bottom>
      <diagonal/>
    </border>
    <border>
      <left style="thick">
        <color rgb="FFFFFFFF"/>
      </left>
      <right style="thick">
        <color rgb="FFFFFFFF"/>
      </right>
      <top style="thick">
        <color rgb="FF95A5A6"/>
      </top>
      <bottom/>
      <diagonal/>
    </border>
    <border>
      <left style="thin">
        <color rgb="FFD5E3E3"/>
      </left>
      <right style="thin">
        <color rgb="FFD5E3E3"/>
      </right>
      <top style="thin">
        <color rgb="FFD5E3E3"/>
      </top>
      <bottom style="thin">
        <color rgb="FFD5E3E3"/>
      </bottom>
      <diagonal/>
    </border>
    <border>
      <left/>
      <right/>
      <top/>
      <bottom style="thin">
        <color rgb="FFD5E3E3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0" fillId="4" borderId="0" xfId="0" applyFill="1"/>
    <xf numFmtId="0" fontId="7" fillId="0" borderId="1" xfId="0" applyFont="1" applyBorder="1"/>
    <xf numFmtId="0" fontId="0" fillId="0" borderId="1" xfId="0" applyBorder="1"/>
    <xf numFmtId="0" fontId="11" fillId="2" borderId="10" xfId="0" applyFont="1" applyFill="1" applyBorder="1" applyAlignment="1">
      <alignment horizontal="center" vertical="center" wrapText="1"/>
    </xf>
    <xf numFmtId="165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165" fontId="12" fillId="6" borderId="11" xfId="0" applyNumberFormat="1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1" fontId="12" fillId="6" borderId="11" xfId="0" applyNumberFormat="1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left" vertical="center" indent="1"/>
    </xf>
    <xf numFmtId="3" fontId="12" fillId="0" borderId="11" xfId="0" applyNumberFormat="1" applyFont="1" applyBorder="1" applyAlignment="1">
      <alignment horizontal="center" vertical="center"/>
    </xf>
    <xf numFmtId="9" fontId="12" fillId="0" borderId="11" xfId="0" applyNumberFormat="1" applyFont="1" applyBorder="1" applyAlignment="1">
      <alignment horizontal="center" vertical="center"/>
    </xf>
    <xf numFmtId="166" fontId="12" fillId="0" borderId="11" xfId="0" applyNumberFormat="1" applyFont="1" applyBorder="1" applyAlignment="1">
      <alignment horizontal="center" vertical="center"/>
    </xf>
    <xf numFmtId="49" fontId="13" fillId="6" borderId="11" xfId="0" applyNumberFormat="1" applyFont="1" applyFill="1" applyBorder="1" applyAlignment="1">
      <alignment horizontal="left" vertical="center" indent="1"/>
    </xf>
    <xf numFmtId="3" fontId="12" fillId="6" borderId="11" xfId="0" applyNumberFormat="1" applyFont="1" applyFill="1" applyBorder="1" applyAlignment="1">
      <alignment horizontal="center" vertical="center"/>
    </xf>
    <xf numFmtId="9" fontId="12" fillId="6" borderId="11" xfId="0" applyNumberFormat="1" applyFont="1" applyFill="1" applyBorder="1" applyAlignment="1">
      <alignment horizontal="center" vertical="center"/>
    </xf>
    <xf numFmtId="166" fontId="12" fillId="6" borderId="11" xfId="0" applyNumberFormat="1" applyFont="1" applyFill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  <xf numFmtId="49" fontId="15" fillId="7" borderId="12" xfId="0" applyNumberFormat="1" applyFont="1" applyFill="1" applyBorder="1" applyAlignment="1">
      <alignment horizontal="left" vertical="center" indent="1"/>
    </xf>
    <xf numFmtId="1" fontId="15" fillId="7" borderId="12" xfId="0" applyNumberFormat="1" applyFont="1" applyFill="1" applyBorder="1" applyAlignment="1">
      <alignment horizontal="center" vertical="center"/>
    </xf>
    <xf numFmtId="3" fontId="15" fillId="7" borderId="12" xfId="0" applyNumberFormat="1" applyFont="1" applyFill="1" applyBorder="1" applyAlignment="1">
      <alignment horizontal="center" vertical="center"/>
    </xf>
    <xf numFmtId="9" fontId="15" fillId="7" borderId="12" xfId="0" applyNumberFormat="1" applyFont="1" applyFill="1" applyBorder="1" applyAlignment="1">
      <alignment horizontal="center" vertical="center"/>
    </xf>
    <xf numFmtId="166" fontId="15" fillId="7" borderId="12" xfId="0" applyNumberFormat="1" applyFont="1" applyFill="1" applyBorder="1" applyAlignment="1">
      <alignment horizontal="center" vertical="center"/>
    </xf>
    <xf numFmtId="49" fontId="16" fillId="8" borderId="11" xfId="0" applyNumberFormat="1" applyFont="1" applyFill="1" applyBorder="1" applyAlignment="1">
      <alignment horizontal="left" vertical="center" indent="1"/>
    </xf>
    <xf numFmtId="1" fontId="17" fillId="0" borderId="11" xfId="0" applyNumberFormat="1" applyFont="1" applyBorder="1" applyAlignment="1">
      <alignment horizontal="center" vertical="center"/>
    </xf>
    <xf numFmtId="3" fontId="17" fillId="0" borderId="11" xfId="0" applyNumberFormat="1" applyFont="1" applyBorder="1" applyAlignment="1">
      <alignment horizontal="center" vertical="center"/>
    </xf>
    <xf numFmtId="164" fontId="17" fillId="0" borderId="11" xfId="0" applyNumberFormat="1" applyFont="1" applyBorder="1" applyAlignment="1">
      <alignment horizontal="center" vertical="center"/>
    </xf>
    <xf numFmtId="166" fontId="17" fillId="0" borderId="11" xfId="0" applyNumberFormat="1" applyFont="1" applyBorder="1" applyAlignment="1">
      <alignment horizontal="center" vertical="center"/>
    </xf>
    <xf numFmtId="9" fontId="17" fillId="0" borderId="11" xfId="0" applyNumberFormat="1" applyFont="1" applyBorder="1" applyAlignment="1">
      <alignment horizontal="center" vertical="center"/>
    </xf>
    <xf numFmtId="49" fontId="18" fillId="9" borderId="11" xfId="0" applyNumberFormat="1" applyFont="1" applyFill="1" applyBorder="1" applyAlignment="1">
      <alignment horizontal="left" vertical="center" indent="1"/>
    </xf>
    <xf numFmtId="164" fontId="12" fillId="6" borderId="11" xfId="0" applyNumberFormat="1" applyFont="1" applyFill="1" applyBorder="1" applyAlignment="1">
      <alignment horizontal="center" vertical="center"/>
    </xf>
    <xf numFmtId="49" fontId="19" fillId="10" borderId="11" xfId="0" applyNumberFormat="1" applyFont="1" applyFill="1" applyBorder="1" applyAlignment="1">
      <alignment horizontal="left" vertical="center" indent="1"/>
    </xf>
    <xf numFmtId="49" fontId="20" fillId="11" borderId="11" xfId="0" applyNumberFormat="1" applyFont="1" applyFill="1" applyBorder="1" applyAlignment="1">
      <alignment horizontal="left" vertical="center" indent="1"/>
    </xf>
    <xf numFmtId="49" fontId="21" fillId="12" borderId="11" xfId="0" applyNumberFormat="1" applyFont="1" applyFill="1" applyBorder="1" applyAlignment="1">
      <alignment horizontal="left" vertical="center" indent="1"/>
    </xf>
    <xf numFmtId="164" fontId="15" fillId="7" borderId="12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8" borderId="14" xfId="0" applyFill="1" applyBorder="1"/>
    <xf numFmtId="0" fontId="25" fillId="0" borderId="0" xfId="0" applyFont="1"/>
    <xf numFmtId="0" fontId="0" fillId="9" borderId="14" xfId="0" applyFill="1" applyBorder="1"/>
    <xf numFmtId="0" fontId="0" fillId="10" borderId="14" xfId="0" applyFill="1" applyBorder="1"/>
    <xf numFmtId="0" fontId="0" fillId="11" borderId="14" xfId="0" applyFill="1" applyBorder="1"/>
    <xf numFmtId="0" fontId="0" fillId="12" borderId="14" xfId="0" applyFill="1" applyBorder="1"/>
    <xf numFmtId="0" fontId="0" fillId="13" borderId="14" xfId="0" applyFill="1" applyBorder="1"/>
    <xf numFmtId="0" fontId="0" fillId="0" borderId="15" xfId="0" applyBorder="1"/>
    <xf numFmtId="167" fontId="0" fillId="0" borderId="0" xfId="0" applyNumberFormat="1"/>
    <xf numFmtId="0" fontId="11" fillId="2" borderId="0" xfId="0" applyFont="1" applyFill="1" applyAlignment="1">
      <alignment horizontal="center" vertical="center"/>
    </xf>
    <xf numFmtId="0" fontId="27" fillId="7" borderId="16" xfId="0" applyFont="1" applyFill="1" applyBorder="1" applyAlignment="1">
      <alignment horizontal="center" vertical="center"/>
    </xf>
    <xf numFmtId="0" fontId="28" fillId="7" borderId="16" xfId="0" applyFont="1" applyFill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1" xfId="0" applyFont="1" applyBorder="1" applyAlignment="1">
      <alignment horizontal="left" vertical="center" indent="1"/>
    </xf>
    <xf numFmtId="165" fontId="29" fillId="0" borderId="11" xfId="0" applyNumberFormat="1" applyFont="1" applyBorder="1" applyAlignment="1">
      <alignment horizontal="center" vertical="center"/>
    </xf>
    <xf numFmtId="168" fontId="30" fillId="0" borderId="17" xfId="0" applyNumberFormat="1" applyFont="1" applyBorder="1" applyAlignment="1">
      <alignment horizontal="center" vertical="center"/>
    </xf>
    <xf numFmtId="0" fontId="31" fillId="0" borderId="0" xfId="0" applyFont="1"/>
    <xf numFmtId="0" fontId="11" fillId="14" borderId="1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32" fillId="15" borderId="19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left" vertical="center" indent="1"/>
    </xf>
    <xf numFmtId="165" fontId="12" fillId="16" borderId="19" xfId="0" applyNumberFormat="1" applyFont="1" applyFill="1" applyBorder="1" applyAlignment="1">
      <alignment horizontal="center" vertical="center"/>
    </xf>
    <xf numFmtId="9" fontId="32" fillId="15" borderId="19" xfId="0" applyNumberFormat="1" applyFont="1" applyFill="1" applyBorder="1" applyAlignment="1">
      <alignment horizontal="center" vertical="center"/>
    </xf>
    <xf numFmtId="170" fontId="12" fillId="16" borderId="19" xfId="0" applyNumberFormat="1" applyFont="1" applyFill="1" applyBorder="1" applyAlignment="1">
      <alignment horizontal="center" vertical="center"/>
    </xf>
    <xf numFmtId="164" fontId="12" fillId="16" borderId="19" xfId="0" applyNumberFormat="1" applyFont="1" applyFill="1" applyBorder="1" applyAlignment="1">
      <alignment horizontal="center" vertical="center"/>
    </xf>
    <xf numFmtId="3" fontId="32" fillId="15" borderId="19" xfId="0" applyNumberFormat="1" applyFont="1" applyFill="1" applyBorder="1" applyAlignment="1">
      <alignment horizontal="center" vertical="center"/>
    </xf>
    <xf numFmtId="171" fontId="32" fillId="15" borderId="19" xfId="0" applyNumberFormat="1" applyFont="1" applyFill="1" applyBorder="1" applyAlignment="1">
      <alignment horizontal="center" vertical="center"/>
    </xf>
    <xf numFmtId="0" fontId="12" fillId="17" borderId="19" xfId="0" applyFont="1" applyFill="1" applyBorder="1" applyAlignment="1">
      <alignment horizontal="center" vertical="center"/>
    </xf>
    <xf numFmtId="0" fontId="12" fillId="17" borderId="19" xfId="0" applyFont="1" applyFill="1" applyBorder="1" applyAlignment="1">
      <alignment horizontal="left" vertical="center" indent="1"/>
    </xf>
    <xf numFmtId="165" fontId="12" fillId="17" borderId="19" xfId="0" applyNumberFormat="1" applyFont="1" applyFill="1" applyBorder="1" applyAlignment="1">
      <alignment horizontal="center" vertical="center"/>
    </xf>
    <xf numFmtId="170" fontId="12" fillId="17" borderId="19" xfId="0" applyNumberFormat="1" applyFont="1" applyFill="1" applyBorder="1" applyAlignment="1">
      <alignment horizontal="center" vertical="center"/>
    </xf>
    <xf numFmtId="164" fontId="12" fillId="17" borderId="19" xfId="0" applyNumberFormat="1" applyFont="1" applyFill="1" applyBorder="1" applyAlignment="1">
      <alignment horizontal="center" vertical="center"/>
    </xf>
    <xf numFmtId="0" fontId="33" fillId="0" borderId="19" xfId="0" applyFont="1" applyBorder="1" applyAlignment="1">
      <alignment horizontal="left" vertical="center" indent="1"/>
    </xf>
    <xf numFmtId="0" fontId="34" fillId="8" borderId="19" xfId="0" applyFont="1" applyFill="1" applyBorder="1" applyAlignment="1">
      <alignment horizontal="center" vertical="center"/>
    </xf>
    <xf numFmtId="0" fontId="35" fillId="9" borderId="19" xfId="0" applyFont="1" applyFill="1" applyBorder="1" applyAlignment="1">
      <alignment horizontal="center" vertical="center"/>
    </xf>
    <xf numFmtId="0" fontId="36" fillId="10" borderId="19" xfId="0" applyFont="1" applyFill="1" applyBorder="1" applyAlignment="1">
      <alignment horizontal="center" vertical="center"/>
    </xf>
    <xf numFmtId="0" fontId="37" fillId="11" borderId="19" xfId="0" applyFont="1" applyFill="1" applyBorder="1" applyAlignment="1">
      <alignment horizontal="center" vertical="center"/>
    </xf>
    <xf numFmtId="0" fontId="38" fillId="12" borderId="19" xfId="0" applyFont="1" applyFill="1" applyBorder="1" applyAlignment="1">
      <alignment horizontal="center" vertical="center"/>
    </xf>
    <xf numFmtId="0" fontId="39" fillId="13" borderId="19" xfId="0" applyFont="1" applyFill="1" applyBorder="1" applyAlignment="1">
      <alignment horizontal="center" vertical="center"/>
    </xf>
    <xf numFmtId="0" fontId="33" fillId="0" borderId="19" xfId="0" applyFont="1" applyBorder="1"/>
    <xf numFmtId="0" fontId="40" fillId="0" borderId="20" xfId="0" applyFont="1" applyBorder="1" applyAlignment="1">
      <alignment horizontal="left" vertical="center" indent="1"/>
    </xf>
    <xf numFmtId="49" fontId="41" fillId="16" borderId="19" xfId="0" applyNumberFormat="1" applyFont="1" applyFill="1" applyBorder="1" applyAlignment="1">
      <alignment horizontal="left" vertical="center" indent="1"/>
    </xf>
    <xf numFmtId="0" fontId="0" fillId="5" borderId="0" xfId="0" applyFill="1"/>
    <xf numFmtId="3" fontId="41" fillId="16" borderId="19" xfId="0" applyNumberFormat="1" applyFont="1" applyFill="1" applyBorder="1" applyAlignment="1">
      <alignment horizontal="left" vertical="center" indent="1"/>
    </xf>
    <xf numFmtId="164" fontId="41" fillId="16" borderId="19" xfId="0" applyNumberFormat="1" applyFont="1" applyFill="1" applyBorder="1" applyAlignment="1">
      <alignment horizontal="left" vertical="center" indent="1"/>
    </xf>
    <xf numFmtId="9" fontId="41" fillId="16" borderId="19" xfId="0" applyNumberFormat="1" applyFont="1" applyFill="1" applyBorder="1" applyAlignment="1">
      <alignment horizontal="left" vertical="center" indent="1"/>
    </xf>
    <xf numFmtId="0" fontId="42" fillId="0" borderId="0" xfId="0" applyFont="1"/>
    <xf numFmtId="0" fontId="43" fillId="0" borderId="0" xfId="0" applyFont="1"/>
    <xf numFmtId="0" fontId="44" fillId="0" borderId="19" xfId="0" applyFont="1" applyBorder="1" applyAlignment="1">
      <alignment horizontal="center" vertical="center"/>
    </xf>
    <xf numFmtId="3" fontId="45" fillId="16" borderId="19" xfId="0" applyNumberFormat="1" applyFont="1" applyFill="1" applyBorder="1" applyAlignment="1">
      <alignment horizontal="right" vertical="center" indent="1"/>
    </xf>
    <xf numFmtId="0" fontId="46" fillId="0" borderId="11" xfId="0" applyFont="1" applyBorder="1" applyAlignment="1">
      <alignment horizontal="center" vertical="center"/>
    </xf>
    <xf numFmtId="0" fontId="47" fillId="0" borderId="11" xfId="0" applyFont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5" borderId="2" xfId="0" applyFont="1" applyFill="1" applyBorder="1" applyAlignment="1">
      <alignment horizontal="left" vertical="center" indent="1"/>
    </xf>
    <xf numFmtId="0" fontId="8" fillId="5" borderId="3" xfId="0" applyFont="1" applyFill="1" applyBorder="1" applyAlignment="1">
      <alignment horizontal="left" vertical="center" indent="1"/>
    </xf>
    <xf numFmtId="0" fontId="8" fillId="5" borderId="4" xfId="0" applyFont="1" applyFill="1" applyBorder="1" applyAlignment="1">
      <alignment horizontal="left" vertical="center" indent="1"/>
    </xf>
    <xf numFmtId="1" fontId="9" fillId="5" borderId="5" xfId="0" applyNumberFormat="1" applyFont="1" applyFill="1" applyBorder="1" applyAlignment="1">
      <alignment horizontal="left" vertical="center" indent="1"/>
    </xf>
    <xf numFmtId="9" fontId="9" fillId="5" borderId="5" xfId="0" applyNumberFormat="1" applyFont="1" applyFill="1" applyBorder="1" applyAlignment="1">
      <alignment horizontal="left" vertical="center" indent="1"/>
    </xf>
    <xf numFmtId="164" fontId="9" fillId="5" borderId="5" xfId="0" applyNumberFormat="1" applyFont="1" applyFill="1" applyBorder="1" applyAlignment="1">
      <alignment horizontal="left" vertical="center" indent="1"/>
    </xf>
    <xf numFmtId="3" fontId="9" fillId="5" borderId="5" xfId="0" applyNumberFormat="1" applyFont="1" applyFill="1" applyBorder="1" applyAlignment="1">
      <alignment horizontal="left" vertical="center" indent="1"/>
    </xf>
    <xf numFmtId="0" fontId="10" fillId="5" borderId="5" xfId="0" applyFont="1" applyFill="1" applyBorder="1" applyAlignment="1">
      <alignment horizontal="left" vertical="center" indent="1"/>
    </xf>
    <xf numFmtId="0" fontId="8" fillId="5" borderId="6" xfId="0" applyFont="1" applyFill="1" applyBorder="1" applyAlignment="1">
      <alignment horizontal="left" vertical="center" indent="1"/>
    </xf>
    <xf numFmtId="0" fontId="8" fillId="5" borderId="7" xfId="0" applyFont="1" applyFill="1" applyBorder="1" applyAlignment="1">
      <alignment horizontal="left" vertical="center" indent="1"/>
    </xf>
    <xf numFmtId="0" fontId="8" fillId="5" borderId="8" xfId="0" applyFont="1" applyFill="1" applyBorder="1" applyAlignment="1">
      <alignment horizontal="left" vertical="center" indent="1"/>
    </xf>
    <xf numFmtId="0" fontId="8" fillId="5" borderId="9" xfId="0" applyFont="1" applyFill="1" applyBorder="1" applyAlignment="1">
      <alignment horizontal="left" vertical="center" indent="1"/>
    </xf>
    <xf numFmtId="2" fontId="9" fillId="5" borderId="5" xfId="0" applyNumberFormat="1" applyFont="1" applyFill="1" applyBorder="1" applyAlignment="1">
      <alignment horizontal="left" vertical="center" indent="1"/>
    </xf>
    <xf numFmtId="0" fontId="11" fillId="2" borderId="1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indent="1"/>
    </xf>
    <xf numFmtId="0" fontId="12" fillId="0" borderId="11" xfId="0" applyFont="1" applyBorder="1" applyAlignment="1">
      <alignment horizontal="left" vertical="center" indent="1"/>
    </xf>
    <xf numFmtId="0" fontId="13" fillId="6" borderId="11" xfId="0" applyFont="1" applyFill="1" applyBorder="1" applyAlignment="1">
      <alignment horizontal="left" vertical="center" indent="1"/>
    </xf>
    <xf numFmtId="0" fontId="12" fillId="6" borderId="11" xfId="0" applyFont="1" applyFill="1" applyBorder="1" applyAlignment="1">
      <alignment horizontal="left" vertical="center" indent="1"/>
    </xf>
    <xf numFmtId="0" fontId="22" fillId="0" borderId="13" xfId="0" applyFont="1" applyBorder="1" applyAlignment="1">
      <alignment horizontal="right"/>
    </xf>
    <xf numFmtId="0" fontId="24" fillId="3" borderId="0" xfId="0" applyFont="1" applyFill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2" borderId="0" xfId="0" applyFont="1" applyFill="1" applyAlignment="1">
      <alignment horizontal="center" vertical="center"/>
    </xf>
    <xf numFmtId="169" fontId="9" fillId="5" borderId="5" xfId="0" applyNumberFormat="1" applyFont="1" applyFill="1" applyBorder="1" applyAlignment="1">
      <alignment horizontal="left" vertical="center" indent="1"/>
    </xf>
    <xf numFmtId="0" fontId="8" fillId="5" borderId="18" xfId="0" applyFont="1" applyFill="1" applyBorder="1" applyAlignment="1">
      <alignment horizontal="left" vertical="center" indent="1"/>
    </xf>
    <xf numFmtId="0" fontId="22" fillId="0" borderId="0" xfId="0" applyFont="1" applyAlignment="1">
      <alignment horizontal="right"/>
    </xf>
  </cellXfs>
  <cellStyles count="1">
    <cellStyle name="Normal" xfId="0" builtinId="0"/>
  </cellStyles>
  <dxfs count="71">
    <dxf>
      <font>
        <b/>
        <color rgb="FF566573"/>
        <name val="Tahoma"/>
        <charset val="1"/>
      </font>
      <fill>
        <patternFill>
          <bgColor rgb="FFE5E8E8"/>
        </patternFill>
      </fill>
    </dxf>
    <dxf>
      <font>
        <b/>
        <color rgb="FF962D22"/>
        <name val="Tahoma"/>
        <charset val="1"/>
      </font>
      <fill>
        <patternFill>
          <bgColor rgb="FFF8D3D0"/>
        </patternFill>
      </fill>
    </dxf>
    <dxf>
      <font>
        <b/>
        <color rgb="FF7A5B00"/>
        <name val="Tahoma"/>
        <charset val="1"/>
      </font>
      <fill>
        <patternFill>
          <bgColor rgb="FFFFF1C9"/>
        </patternFill>
      </fill>
    </dxf>
    <dxf>
      <font>
        <b/>
        <color rgb="FF1B4F72"/>
        <name val="Tahoma"/>
        <charset val="1"/>
      </font>
      <fill>
        <patternFill>
          <bgColor rgb="FFCFE5F7"/>
        </patternFill>
      </fill>
    </dxf>
    <dxf>
      <font>
        <b/>
        <color rgb="FF1E6B3A"/>
        <name val="Tahoma"/>
        <charset val="1"/>
      </font>
      <fill>
        <patternFill>
          <bgColor rgb="FFD5F0DD"/>
        </patternFill>
      </fill>
    </dxf>
    <dxf>
      <font>
        <b/>
        <color rgb="FFC0392B"/>
        <name val="Tahoma"/>
        <charset val="1"/>
      </font>
    </dxf>
    <dxf>
      <font>
        <color rgb="FF0E5E57"/>
        <name val="Tahoma"/>
        <charset val="1"/>
      </font>
      <fill>
        <patternFill>
          <bgColor rgb="FFA6E0D9"/>
        </patternFill>
      </fill>
    </dxf>
    <dxf>
      <font>
        <color rgb="FF4B2A80"/>
        <name val="Tahoma"/>
        <charset val="1"/>
      </font>
      <fill>
        <patternFill>
          <bgColor rgb="FFD8C8F0"/>
        </patternFill>
      </fill>
    </dxf>
    <dxf>
      <font>
        <color rgb="FF7A5B00"/>
        <name val="Tahoma"/>
        <charset val="1"/>
      </font>
      <fill>
        <patternFill>
          <bgColor rgb="FFFFE08A"/>
        </patternFill>
      </fill>
    </dxf>
    <dxf>
      <font>
        <color rgb="FF2F5A1F"/>
        <name val="Tahoma"/>
        <charset val="1"/>
      </font>
      <fill>
        <patternFill>
          <bgColor rgb="FFBFE3B0"/>
        </patternFill>
      </fill>
    </dxf>
    <dxf>
      <font>
        <color rgb="FF1B4F72"/>
        <name val="Tahoma"/>
        <charset val="1"/>
      </font>
      <fill>
        <patternFill>
          <bgColor rgb="FFA9CFEA"/>
        </patternFill>
      </fill>
    </dxf>
    <dxf>
      <font>
        <b/>
        <color rgb="FFC55A11"/>
        <name val="Tahoma"/>
        <charset val="1"/>
      </font>
    </dxf>
    <dxf>
      <font>
        <b/>
        <color rgb="FF1E6B3A"/>
        <name val="Tahoma"/>
        <charset val="1"/>
      </font>
      <fill>
        <patternFill>
          <bgColor rgb="FFD5F0DD"/>
        </patternFill>
      </fill>
    </dxf>
    <dxf>
      <font>
        <b/>
        <color rgb="FF566573"/>
        <name val="Tahoma"/>
        <charset val="1"/>
      </font>
      <fill>
        <patternFill>
          <bgColor rgb="FFE5E8E8"/>
        </patternFill>
      </fill>
    </dxf>
    <dxf>
      <font>
        <b/>
        <color rgb="FF962D22"/>
        <name val="Tahoma"/>
        <charset val="1"/>
      </font>
      <fill>
        <patternFill>
          <bgColor rgb="FFF8D3D0"/>
        </patternFill>
      </fill>
    </dxf>
    <dxf>
      <font>
        <b/>
        <color rgb="FF7A5B00"/>
        <name val="Tahoma"/>
        <charset val="1"/>
      </font>
      <fill>
        <patternFill>
          <bgColor rgb="FFFFF1C9"/>
        </patternFill>
      </fill>
    </dxf>
    <dxf>
      <font>
        <b/>
        <color rgb="FF1B4F72"/>
        <name val="Tahoma"/>
        <charset val="1"/>
      </font>
      <fill>
        <patternFill>
          <bgColor rgb="FFCFE5F7"/>
        </patternFill>
      </fill>
    </dxf>
    <dxf>
      <font>
        <b/>
        <color rgb="FF1B4F72"/>
        <name val="Tahoma"/>
        <charset val="1"/>
      </font>
      <fill>
        <patternFill>
          <bgColor rgb="FFA9CFEA"/>
        </patternFill>
      </fill>
    </dxf>
    <dxf>
      <font>
        <b/>
        <color rgb="FF0E5E57"/>
        <name val="Tahoma"/>
        <charset val="1"/>
      </font>
      <fill>
        <patternFill>
          <bgColor rgb="FFA6E0D9"/>
        </patternFill>
      </fill>
    </dxf>
    <dxf>
      <font>
        <b/>
        <color rgb="FF4B2A80"/>
        <name val="Tahoma"/>
        <charset val="1"/>
      </font>
      <fill>
        <patternFill>
          <bgColor rgb="FFD8C8F0"/>
        </patternFill>
      </fill>
    </dxf>
    <dxf>
      <font>
        <b/>
        <color rgb="FF7A5B00"/>
        <name val="Tahoma"/>
        <charset val="1"/>
      </font>
      <fill>
        <patternFill>
          <bgColor rgb="FFFFE08A"/>
        </patternFill>
      </fill>
    </dxf>
    <dxf>
      <font>
        <b/>
        <color rgb="FF2F5A1F"/>
        <name val="Tahoma"/>
        <charset val="1"/>
      </font>
      <fill>
        <patternFill>
          <bgColor rgb="FFBFE3B0"/>
        </patternFill>
      </fill>
    </dxf>
    <dxf>
      <fill>
        <patternFill>
          <bgColor rgb="FFF5F9F9"/>
        </patternFill>
      </fill>
    </dxf>
    <dxf>
      <font>
        <b/>
        <color rgb="FF2F5A1F"/>
        <name val="Tahoma"/>
        <charset val="1"/>
      </font>
      <fill>
        <patternFill>
          <bgColor rgb="FFBFE3B0"/>
        </patternFill>
      </fill>
    </dxf>
    <dxf>
      <font>
        <b/>
        <color rgb="FF1B4F72"/>
        <name val="Tahoma"/>
        <charset val="1"/>
      </font>
      <fill>
        <patternFill>
          <bgColor rgb="FFA9CFEA"/>
        </patternFill>
      </fill>
    </dxf>
    <dxf>
      <font>
        <b/>
        <color rgb="FF8A3B0E"/>
        <name val="Tahoma"/>
        <charset val="1"/>
      </font>
      <fill>
        <patternFill>
          <bgColor rgb="FFF6B48C"/>
        </patternFill>
      </fill>
    </dxf>
    <dxf>
      <font>
        <color rgb="FFC8CFCF"/>
        <name val="Tahoma"/>
        <charset val="1"/>
      </font>
      <fill>
        <patternFill>
          <bgColor rgb="FFF7F9F9"/>
        </patternFill>
      </fill>
    </dxf>
    <dxf>
      <font>
        <color rgb="FFC0392B"/>
        <name val="Tahoma"/>
        <charset val="1"/>
      </font>
    </dxf>
    <dxf>
      <font>
        <b/>
        <color rgb="FFC0392B"/>
        <name val="Tahoma"/>
        <charset val="1"/>
      </font>
      <border diagonalUp="0" diagonalDown="0">
        <left style="medium">
          <color rgb="FFC0392B"/>
        </left>
        <right style="medium">
          <color rgb="FFC0392B"/>
        </right>
        <top style="medium">
          <color rgb="FFC0392B"/>
        </top>
        <bottom style="medium">
          <color rgb="FFC0392B"/>
        </bottom>
      </border>
    </dxf>
    <dxf>
      <font>
        <b/>
        <color rgb="FF0E5E57"/>
        <name val="Tahoma"/>
        <charset val="1"/>
      </font>
      <fill>
        <patternFill>
          <bgColor rgb="FFA6E0D9"/>
        </patternFill>
      </fill>
    </dxf>
    <dxf>
      <font>
        <b/>
        <color rgb="FF4B2A80"/>
        <name val="Tahoma"/>
        <charset val="1"/>
      </font>
      <fill>
        <patternFill>
          <bgColor rgb="FFD8C8F0"/>
        </patternFill>
      </fill>
    </dxf>
    <dxf>
      <font>
        <b/>
        <color rgb="FF7A5B00"/>
        <name val="Tahoma"/>
        <charset val="1"/>
      </font>
      <fill>
        <patternFill>
          <bgColor rgb="FFFFE08A"/>
        </patternFill>
      </fill>
    </dxf>
    <dxf>
      <font>
        <color rgb="FFC0392B"/>
        <name val="Tahoma"/>
        <charset val="1"/>
      </font>
    </dxf>
    <dxf>
      <font>
        <b/>
        <color rgb="FFC0392B"/>
        <name val="Tahoma"/>
        <charset val="1"/>
      </font>
      <border diagonalUp="0" diagonalDown="0">
        <left style="medium">
          <color rgb="FFC0392B"/>
        </left>
        <right style="medium">
          <color rgb="FFC0392B"/>
        </right>
        <top style="medium">
          <color rgb="FFC0392B"/>
        </top>
        <bottom style="medium">
          <color rgb="FFC0392B"/>
        </bottom>
      </border>
    </dxf>
    <dxf>
      <font>
        <b/>
        <color rgb="FF0E5E57"/>
        <name val="Tahoma"/>
        <charset val="1"/>
      </font>
      <fill>
        <patternFill>
          <bgColor rgb="FFA6E0D9"/>
        </patternFill>
      </fill>
    </dxf>
    <dxf>
      <font>
        <b/>
        <color rgb="FF4B2A80"/>
        <name val="Tahoma"/>
        <charset val="1"/>
      </font>
      <fill>
        <patternFill>
          <bgColor rgb="FFD8C8F0"/>
        </patternFill>
      </fill>
    </dxf>
    <dxf>
      <font>
        <b/>
        <color rgb="FF7A5B00"/>
        <name val="Tahoma"/>
        <charset val="1"/>
      </font>
      <fill>
        <patternFill>
          <bgColor rgb="FFFFE08A"/>
        </patternFill>
      </fill>
    </dxf>
    <dxf>
      <font>
        <b/>
        <color rgb="FF2F5A1F"/>
        <name val="Tahoma"/>
        <charset val="1"/>
      </font>
      <fill>
        <patternFill>
          <bgColor rgb="FFBFE3B0"/>
        </patternFill>
      </fill>
    </dxf>
    <dxf>
      <font>
        <b/>
        <color rgb="FF1B4F72"/>
        <name val="Tahoma"/>
        <charset val="1"/>
      </font>
      <fill>
        <patternFill>
          <bgColor rgb="FFA9CFEA"/>
        </patternFill>
      </fill>
    </dxf>
    <dxf>
      <font>
        <b/>
        <color rgb="FF8A3B0E"/>
        <name val="Tahoma"/>
        <charset val="1"/>
      </font>
      <fill>
        <patternFill>
          <bgColor rgb="FFF6B48C"/>
        </patternFill>
      </fill>
    </dxf>
    <dxf>
      <font>
        <color rgb="FFC8CFCF"/>
        <name val="Tahoma"/>
        <charset val="1"/>
      </font>
      <fill>
        <patternFill>
          <bgColor rgb="FFF7F9F9"/>
        </patternFill>
      </fill>
    </dxf>
    <dxf>
      <font>
        <b/>
        <sz val="20"/>
        <color rgb="FFC0392B"/>
        <name val="Tahoma"/>
        <charset val="1"/>
      </font>
    </dxf>
    <dxf>
      <font>
        <b/>
        <sz val="20"/>
        <color rgb="FF1E8449"/>
        <name val="Tahoma"/>
        <charset val="1"/>
      </font>
    </dxf>
    <dxf>
      <font>
        <color rgb="FFC0392B"/>
        <name val="Tahoma"/>
        <charset val="1"/>
      </font>
    </dxf>
    <dxf>
      <font>
        <b/>
        <color rgb="FFC0392B"/>
        <name val="Tahoma"/>
        <charset val="1"/>
      </font>
      <border diagonalUp="0" diagonalDown="0">
        <left style="medium">
          <color rgb="FFC0392B"/>
        </left>
        <right style="medium">
          <color rgb="FFC0392B"/>
        </right>
        <top style="medium">
          <color rgb="FFC0392B"/>
        </top>
        <bottom style="medium">
          <color rgb="FFC0392B"/>
        </bottom>
      </border>
    </dxf>
    <dxf>
      <font>
        <b/>
        <color rgb="FF0E5E57"/>
        <name val="Tahoma"/>
        <charset val="1"/>
      </font>
      <fill>
        <patternFill>
          <bgColor rgb="FFA6E0D9"/>
        </patternFill>
      </fill>
    </dxf>
    <dxf>
      <font>
        <b/>
        <color rgb="FF4B2A80"/>
        <name val="Tahoma"/>
        <charset val="1"/>
      </font>
      <fill>
        <patternFill>
          <bgColor rgb="FFD8C8F0"/>
        </patternFill>
      </fill>
    </dxf>
    <dxf>
      <font>
        <b/>
        <color rgb="FF7A5B00"/>
        <name val="Tahoma"/>
        <charset val="1"/>
      </font>
      <fill>
        <patternFill>
          <bgColor rgb="FFFFE08A"/>
        </patternFill>
      </fill>
    </dxf>
    <dxf>
      <font>
        <b/>
        <color rgb="FF2F5A1F"/>
        <name val="Tahoma"/>
        <charset val="1"/>
      </font>
      <fill>
        <patternFill>
          <bgColor rgb="FFBFE3B0"/>
        </patternFill>
      </fill>
    </dxf>
    <dxf>
      <font>
        <b/>
        <color rgb="FF1B4F72"/>
        <name val="Tahoma"/>
        <charset val="1"/>
      </font>
      <fill>
        <patternFill>
          <bgColor rgb="FFA9CFEA"/>
        </patternFill>
      </fill>
    </dxf>
    <dxf>
      <font>
        <b/>
        <color rgb="FF8A3B0E"/>
        <name val="Tahoma"/>
        <charset val="1"/>
      </font>
      <fill>
        <patternFill>
          <bgColor rgb="FFF6B48C"/>
        </patternFill>
      </fill>
    </dxf>
    <dxf>
      <font>
        <color rgb="FFC8CFCF"/>
        <name val="Tahoma"/>
        <charset val="1"/>
      </font>
      <fill>
        <patternFill>
          <bgColor rgb="FFF7F9F9"/>
        </patternFill>
      </fill>
    </dxf>
    <dxf>
      <font>
        <b/>
        <sz val="20"/>
        <color rgb="FFC0392B"/>
        <name val="Tahoma"/>
        <charset val="1"/>
      </font>
    </dxf>
    <dxf>
      <font>
        <b/>
        <sz val="20"/>
        <color rgb="FF1E8449"/>
        <name val="Tahoma"/>
        <charset val="1"/>
      </font>
    </dxf>
    <dxf>
      <font>
        <b/>
        <color rgb="FF1B4F72"/>
        <name val="Tahoma"/>
        <charset val="1"/>
      </font>
      <fill>
        <patternFill>
          <bgColor rgb="FFCFE5F7"/>
        </patternFill>
      </fill>
    </dxf>
    <dxf>
      <font>
        <b/>
        <color rgb="FFC0392B"/>
        <name val="Tahoma"/>
        <charset val="1"/>
      </font>
    </dxf>
    <dxf>
      <font>
        <b/>
        <color rgb="FFC0392B"/>
        <name val="Tahoma"/>
        <charset val="1"/>
      </font>
    </dxf>
    <dxf>
      <font>
        <b/>
        <sz val="20"/>
        <color rgb="FFC0392B"/>
        <name val="Tahoma"/>
        <charset val="1"/>
      </font>
    </dxf>
    <dxf>
      <font>
        <b/>
        <sz val="20"/>
        <color rgb="FF1E8449"/>
        <name val="Tahoma"/>
        <charset val="1"/>
      </font>
    </dxf>
    <dxf>
      <font>
        <b/>
        <sz val="20"/>
        <color rgb="FFC0392B"/>
        <name val="Tahoma"/>
        <charset val="1"/>
      </font>
    </dxf>
    <dxf>
      <font>
        <b/>
        <sz val="20"/>
        <color rgb="FF1E8449"/>
        <name val="Tahoma"/>
        <charset val="1"/>
      </font>
    </dxf>
    <dxf>
      <font>
        <b/>
        <color rgb="FF0E5E57"/>
        <name val="Tahoma"/>
        <charset val="1"/>
      </font>
      <fill>
        <patternFill>
          <bgColor rgb="FFA6E0D9"/>
        </patternFill>
      </fill>
    </dxf>
    <dxf>
      <font>
        <b/>
        <color rgb="FF4B2A80"/>
        <name val="Tahoma"/>
        <charset val="1"/>
      </font>
      <fill>
        <patternFill>
          <bgColor rgb="FFD8C8F0"/>
        </patternFill>
      </fill>
    </dxf>
    <dxf>
      <font>
        <b/>
        <color rgb="FF7A5B00"/>
        <name val="Tahoma"/>
        <charset val="1"/>
      </font>
      <fill>
        <patternFill>
          <bgColor rgb="FFFFE08A"/>
        </patternFill>
      </fill>
    </dxf>
    <dxf>
      <font>
        <b/>
        <color rgb="FF2F5A1F"/>
        <name val="Tahoma"/>
        <charset val="1"/>
      </font>
      <fill>
        <patternFill>
          <bgColor rgb="FFBFE3B0"/>
        </patternFill>
      </fill>
    </dxf>
    <dxf>
      <font>
        <b/>
        <color rgb="FF1B4F72"/>
        <name val="Tahoma"/>
        <charset val="1"/>
      </font>
      <fill>
        <patternFill>
          <bgColor rgb="FFA9CFEA"/>
        </patternFill>
      </fill>
    </dxf>
    <dxf>
      <font>
        <b/>
        <color rgb="FFC0392B"/>
        <name val="Tahoma"/>
        <charset val="1"/>
      </font>
    </dxf>
    <dxf>
      <font>
        <b/>
        <sz val="20"/>
        <color rgb="FFC0392B"/>
        <name val="Tahoma"/>
        <charset val="1"/>
      </font>
    </dxf>
    <dxf>
      <font>
        <b/>
        <sz val="20"/>
        <color rgb="FF1E8449"/>
        <name val="Tahoma"/>
        <charset val="1"/>
      </font>
    </dxf>
    <dxf>
      <font>
        <b/>
        <sz val="20"/>
        <color rgb="FFC0392B"/>
        <name val="Tahoma"/>
        <charset val="1"/>
      </font>
    </dxf>
    <dxf>
      <font>
        <b/>
        <sz val="20"/>
        <color rgb="FF1E8449"/>
        <name val="Tahoma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392B"/>
      <rgbColor rgb="FFD5E3E3"/>
      <rgbColor rgb="FFF7F9F9"/>
      <rgbColor rgb="FFF8D3D0"/>
      <rgbColor rgb="FFE5E8E8"/>
      <rgbColor rgb="FFA6E0D9"/>
      <rgbColor rgb="FFF3F8F8"/>
      <rgbColor rgb="FF1E6B3A"/>
      <rgbColor rgb="FF1B4F72"/>
      <rgbColor rgb="FF7A5B00"/>
      <rgbColor rgb="FF7F8C8D"/>
      <rgbColor rgb="FF1E8449"/>
      <rgbColor rgb="FFC8CFCF"/>
      <rgbColor rgb="FF878787"/>
      <rgbColor rgb="FF9AA5A5"/>
      <rgbColor rgb="FF962D22"/>
      <rgbColor rgb="FFFFF8E1"/>
      <rgbColor rgb="FFE6F2F2"/>
      <rgbColor rgb="FF566573"/>
      <rgbColor rgb="FFC55A11"/>
      <rgbColor rgb="FF1F4FB4"/>
      <rgbColor rgb="FFD8C8F0"/>
      <rgbColor rgb="FF2C5560"/>
      <rgbColor rgb="FFE3ECEC"/>
      <rgbColor rgb="FFFFFBEF"/>
      <rgbColor rgb="FFBFE3E3"/>
      <rgbColor rgb="FFEEF1F1"/>
      <rgbColor rgb="FFF5F9F9"/>
      <rgbColor rgb="FF0E5E57"/>
      <rgbColor rgb="FFF7FAFA"/>
      <rgbColor rgb="FF6CB6B9"/>
      <rgbColor rgb="FFCFE5F7"/>
      <rgbColor rgb="FFD5F0DD"/>
      <rgbColor rgb="FFFFF1C9"/>
      <rgbColor rgb="FFA9CFEA"/>
      <rgbColor rgb="FFF6B48C"/>
      <rgbColor rgb="FFD9D9D9"/>
      <rgbColor rgb="FFFFE08A"/>
      <rgbColor rgb="FF4F81BD"/>
      <rgbColor rgb="FF24A4D2"/>
      <rgbColor rgb="FFBFE3B0"/>
      <rgbColor rgb="FFF1C40F"/>
      <rgbColor rgb="FFD4A017"/>
      <rgbColor rgb="FFE67E22"/>
      <rgbColor rgb="FF5B6B70"/>
      <rgbColor rgb="FF95A5A6"/>
      <rgbColor rgb="FF103B44"/>
      <rgbColor rgb="FF2B8C8E"/>
      <rgbColor rgb="FF34495E"/>
      <rgbColor rgb="FF2F5A1F"/>
      <rgbColor rgb="FF8A3B0E"/>
      <rgbColor rgb="FF8E44AD"/>
      <rgbColor rgb="FF4B2A80"/>
      <rgbColor rgb="FF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Tahoma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Tahoma"/>
              </a:rPr>
              <a:t>Số khóa: kế hoạch vs hoàn thành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Dashboard!$C$27</c:f>
              <c:strCache>
                <c:ptCount val="1"/>
                <c:pt idx="0">
                  <c:v>Khóa KH</c:v>
                </c:pt>
              </c:strCache>
            </c:strRef>
          </c:tx>
          <c:spPr>
            <a:solidFill>
              <a:srgbClr val="BFE3E3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Tahoma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Dashboard!$B$28:$B$39</c:f>
              <c:strCache>
                <c:ptCount val="12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  <c:pt idx="4">
                  <c:v>T5</c:v>
                </c:pt>
                <c:pt idx="5">
                  <c:v>T6</c:v>
                </c:pt>
                <c:pt idx="6">
                  <c:v>T7</c:v>
                </c:pt>
                <c:pt idx="7">
                  <c:v>T8</c:v>
                </c:pt>
                <c:pt idx="8">
                  <c:v>T9</c:v>
                </c:pt>
                <c:pt idx="9">
                  <c:v>T10</c:v>
                </c:pt>
                <c:pt idx="10">
                  <c:v>T11</c:v>
                </c:pt>
                <c:pt idx="11">
                  <c:v>T12</c:v>
                </c:pt>
              </c:strCache>
            </c:strRef>
          </c:cat>
          <c:val>
            <c:numRef>
              <c:f>Dashboard!$C$28:$C$39</c:f>
              <c:numCache>
                <c:formatCode>0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3C-4D04-9A10-313D79E7611C}"/>
            </c:ext>
          </c:extLst>
        </c:ser>
        <c:ser>
          <c:idx val="1"/>
          <c:order val="1"/>
          <c:tx>
            <c:strRef>
              <c:f>Dashboard!$D$27</c:f>
              <c:strCache>
                <c:ptCount val="1"/>
                <c:pt idx="0">
                  <c:v>Hoàn thành</c:v>
                </c:pt>
              </c:strCache>
            </c:strRef>
          </c:tx>
          <c:spPr>
            <a:solidFill>
              <a:srgbClr val="103B4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Tahoma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Dashboard!$B$28:$B$39</c:f>
              <c:strCache>
                <c:ptCount val="12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  <c:pt idx="4">
                  <c:v>T5</c:v>
                </c:pt>
                <c:pt idx="5">
                  <c:v>T6</c:v>
                </c:pt>
                <c:pt idx="6">
                  <c:v>T7</c:v>
                </c:pt>
                <c:pt idx="7">
                  <c:v>T8</c:v>
                </c:pt>
                <c:pt idx="8">
                  <c:v>T9</c:v>
                </c:pt>
                <c:pt idx="9">
                  <c:v>T10</c:v>
                </c:pt>
                <c:pt idx="10">
                  <c:v>T11</c:v>
                </c:pt>
                <c:pt idx="11">
                  <c:v>T12</c:v>
                </c:pt>
              </c:strCache>
            </c:strRef>
          </c:cat>
          <c:val>
            <c:numRef>
              <c:f>Dashboard!$D$28:$D$39</c:f>
              <c:numCache>
                <c:formatCode>0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3C-4D04-9A10-313D79E76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10"/>
        <c:axId val="30717738"/>
        <c:axId val="72083429"/>
      </c:barChart>
      <c:catAx>
        <c:axId val="307177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Tahoma"/>
              </a:defRPr>
            </a:pPr>
            <a:endParaRPr lang="en-US"/>
          </a:p>
        </c:txPr>
        <c:crossAx val="72083429"/>
        <c:crosses val="autoZero"/>
        <c:auto val="1"/>
        <c:lblAlgn val="ctr"/>
        <c:lblOffset val="100"/>
        <c:noMultiLvlLbl val="0"/>
      </c:catAx>
      <c:valAx>
        <c:axId val="72083429"/>
        <c:scaling>
          <c:orientation val="minMax"/>
        </c:scaling>
        <c:delete val="0"/>
        <c:axPos val="l"/>
        <c:majorGridlines>
          <c:spPr>
            <a:ln w="9360">
              <a:solidFill>
                <a:srgbClr val="E3ECEC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Tahoma"/>
              </a:defRPr>
            </a:pPr>
            <a:endParaRPr lang="en-US"/>
          </a:p>
        </c:txPr>
        <c:crossAx val="30717738"/>
        <c:crosses val="autoZero"/>
        <c:crossBetween val="between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Tahoma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Tahoma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Tahoma"/>
              </a:rPr>
              <a:t>Chi phí lũy kế vs ngân sách (triệu đ)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Chi phí lũy kế</c:v>
          </c:tx>
          <c:spPr>
            <a:ln w="28080">
              <a:solidFill>
                <a:srgbClr val="E67E2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Tahoma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Dashboard!$B$28:$B$39</c:f>
              <c:strCache>
                <c:ptCount val="12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  <c:pt idx="4">
                  <c:v>T5</c:v>
                </c:pt>
                <c:pt idx="5">
                  <c:v>T6</c:v>
                </c:pt>
                <c:pt idx="6">
                  <c:v>T7</c:v>
                </c:pt>
                <c:pt idx="7">
                  <c:v>T8</c:v>
                </c:pt>
                <c:pt idx="8">
                  <c:v>T9</c:v>
                </c:pt>
                <c:pt idx="9">
                  <c:v>T10</c:v>
                </c:pt>
                <c:pt idx="10">
                  <c:v>T11</c:v>
                </c:pt>
                <c:pt idx="11">
                  <c:v>T12</c:v>
                </c:pt>
              </c:strCache>
            </c:strRef>
          </c:cat>
          <c:val>
            <c:numRef>
              <c:f>Dashboard!$J$28:$J$39</c:f>
              <c:numCache>
                <c:formatCode>#,##0.0,,;\-#,##0.0,,;\-</c:formatCode>
                <c:ptCount val="12"/>
                <c:pt idx="0">
                  <c:v>23000000</c:v>
                </c:pt>
                <c:pt idx="1">
                  <c:v>46000000</c:v>
                </c:pt>
                <c:pt idx="2">
                  <c:v>66000000</c:v>
                </c:pt>
                <c:pt idx="3">
                  <c:v>122000000</c:v>
                </c:pt>
                <c:pt idx="4">
                  <c:v>130000000</c:v>
                </c:pt>
                <c:pt idx="5">
                  <c:v>150000000</c:v>
                </c:pt>
                <c:pt idx="6">
                  <c:v>178000000</c:v>
                </c:pt>
                <c:pt idx="7">
                  <c:v>193000000</c:v>
                </c:pt>
                <c:pt idx="8">
                  <c:v>253000000</c:v>
                </c:pt>
                <c:pt idx="9">
                  <c:v>256000000</c:v>
                </c:pt>
                <c:pt idx="10">
                  <c:v>277000000</c:v>
                </c:pt>
                <c:pt idx="11">
                  <c:v>285000000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CB-483D-ABB4-484694B47695}"/>
            </c:ext>
          </c:extLst>
        </c:ser>
        <c:ser>
          <c:idx val="1"/>
          <c:order val="1"/>
          <c:tx>
            <c:v>Ngân sách lũy kế</c:v>
          </c:tx>
          <c:spPr>
            <a:ln w="21960">
              <a:solidFill>
                <a:srgbClr val="2E8B8F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Tahoma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Dashboard!$B$28:$B$39</c:f>
              <c:strCache>
                <c:ptCount val="12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  <c:pt idx="4">
                  <c:v>T5</c:v>
                </c:pt>
                <c:pt idx="5">
                  <c:v>T6</c:v>
                </c:pt>
                <c:pt idx="6">
                  <c:v>T7</c:v>
                </c:pt>
                <c:pt idx="7">
                  <c:v>T8</c:v>
                </c:pt>
                <c:pt idx="8">
                  <c:v>T9</c:v>
                </c:pt>
                <c:pt idx="9">
                  <c:v>T10</c:v>
                </c:pt>
                <c:pt idx="10">
                  <c:v>T11</c:v>
                </c:pt>
                <c:pt idx="11">
                  <c:v>T12</c:v>
                </c:pt>
              </c:strCache>
            </c:strRef>
          </c:cat>
          <c:val>
            <c:numRef>
              <c:f>Dashboard!$K$28:$K$39</c:f>
              <c:numCache>
                <c:formatCode>#,##0.0,,;\-#,##0.0,,;\-</c:formatCode>
                <c:ptCount val="12"/>
                <c:pt idx="0">
                  <c:v>29166666.666666668</c:v>
                </c:pt>
                <c:pt idx="1">
                  <c:v>58333333.333333336</c:v>
                </c:pt>
                <c:pt idx="2">
                  <c:v>87500000</c:v>
                </c:pt>
                <c:pt idx="3">
                  <c:v>116666666.66666667</c:v>
                </c:pt>
                <c:pt idx="4">
                  <c:v>145833333.33333334</c:v>
                </c:pt>
                <c:pt idx="5">
                  <c:v>175000000</c:v>
                </c:pt>
                <c:pt idx="6">
                  <c:v>204166666.66666666</c:v>
                </c:pt>
                <c:pt idx="7">
                  <c:v>233333333.33333334</c:v>
                </c:pt>
                <c:pt idx="8">
                  <c:v>262500000</c:v>
                </c:pt>
                <c:pt idx="9">
                  <c:v>291666666.66666669</c:v>
                </c:pt>
                <c:pt idx="10">
                  <c:v>320833333.33333331</c:v>
                </c:pt>
                <c:pt idx="11">
                  <c:v>350000000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CB-483D-ABB4-484694B476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30534336"/>
        <c:axId val="41033384"/>
      </c:lineChart>
      <c:catAx>
        <c:axId val="30534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Tahoma"/>
              </a:defRPr>
            </a:pPr>
            <a:endParaRPr lang="en-US"/>
          </a:p>
        </c:txPr>
        <c:crossAx val="41033384"/>
        <c:crosses val="autoZero"/>
        <c:auto val="1"/>
        <c:lblAlgn val="ctr"/>
        <c:lblOffset val="100"/>
        <c:noMultiLvlLbl val="0"/>
      </c:catAx>
      <c:valAx>
        <c:axId val="41033384"/>
        <c:scaling>
          <c:orientation val="minMax"/>
        </c:scaling>
        <c:delete val="0"/>
        <c:axPos val="l"/>
        <c:majorGridlines>
          <c:spPr>
            <a:ln w="9360">
              <a:solidFill>
                <a:srgbClr val="E3ECEC"/>
              </a:solidFill>
              <a:round/>
            </a:ln>
          </c:spPr>
        </c:majorGridlines>
        <c:numFmt formatCode="#,##0,,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Tahoma"/>
              </a:defRPr>
            </a:pPr>
            <a:endParaRPr lang="en-US"/>
          </a:p>
        </c:txPr>
        <c:crossAx val="3053433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Tahoma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Tahoma"/>
              </a:defRPr>
            </a:pPr>
            <a:r>
              <a:rPr lang="vi-VN" sz="1800" b="1" strike="noStrike" spc="-1">
                <a:solidFill>
                  <a:srgbClr val="000000"/>
                </a:solidFill>
                <a:latin typeface="Tahoma"/>
              </a:rPr>
              <a:t>Cơ cấu số khóa theo loại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Dashboard!$C$61</c:f>
              <c:strCache>
                <c:ptCount val="1"/>
                <c:pt idx="0">
                  <c:v>Khóa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A9CFEA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ABC-46EF-99A3-E9976597354F}"/>
              </c:ext>
            </c:extLst>
          </c:dPt>
          <c:dPt>
            <c:idx val="1"/>
            <c:bubble3D val="0"/>
            <c:spPr>
              <a:solidFill>
                <a:srgbClr val="BFE3B0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ABC-46EF-99A3-E9976597354F}"/>
              </c:ext>
            </c:extLst>
          </c:dPt>
          <c:dPt>
            <c:idx val="2"/>
            <c:bubble3D val="0"/>
            <c:spPr>
              <a:solidFill>
                <a:srgbClr val="FFE08A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ABC-46EF-99A3-E9976597354F}"/>
              </c:ext>
            </c:extLst>
          </c:dPt>
          <c:dPt>
            <c:idx val="3"/>
            <c:bubble3D val="0"/>
            <c:spPr>
              <a:solidFill>
                <a:srgbClr val="D8C8F0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ABC-46EF-99A3-E9976597354F}"/>
              </c:ext>
            </c:extLst>
          </c:dPt>
          <c:dPt>
            <c:idx val="4"/>
            <c:bubble3D val="0"/>
            <c:spPr>
              <a:solidFill>
                <a:srgbClr val="A6E0D9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ABC-46EF-99A3-E9976597354F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Tahoma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BC-46EF-99A3-E9976597354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Tahoma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BC-46EF-99A3-E9976597354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Tahoma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BC-46EF-99A3-E9976597354F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Tahoma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ABC-46EF-99A3-E9976597354F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Tahoma"/>
                    </a:defRPr>
                  </a:pPr>
                  <a:endParaRPr lang="en-US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ABC-46EF-99A3-E997659735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Tahoma"/>
                  </a:defRPr>
                </a:pPr>
                <a:endParaRPr lang="en-US"/>
              </a:p>
            </c:txPr>
            <c:dLblPos val="bestFit"/>
            <c:showLegendKey val="1"/>
            <c:showVal val="0"/>
            <c:showCatName val="0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Dashboard!$B$62:$B$66</c:f>
              <c:strCache>
                <c:ptCount val="5"/>
                <c:pt idx="0">
                  <c:v>Technical</c:v>
                </c:pt>
                <c:pt idx="1">
                  <c:v>Soft Skill</c:v>
                </c:pt>
                <c:pt idx="2">
                  <c:v>Compliance</c:v>
                </c:pt>
                <c:pt idx="3">
                  <c:v>Leadership</c:v>
                </c:pt>
                <c:pt idx="4">
                  <c:v>Hội nhập</c:v>
                </c:pt>
              </c:strCache>
            </c:strRef>
          </c:cat>
          <c:val>
            <c:numRef>
              <c:f>Dashboard!$C$62:$C$66</c:f>
              <c:numCache>
                <c:formatCode>0</c:formatCode>
                <c:ptCount val="5"/>
                <c:pt idx="0">
                  <c:v>8</c:v>
                </c:pt>
                <c:pt idx="1">
                  <c:v>7</c:v>
                </c:pt>
                <c:pt idx="2">
                  <c:v>9</c:v>
                </c:pt>
                <c:pt idx="3">
                  <c:v>7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ABC-46EF-99A3-E99765973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Tahoma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Tahoma"/>
              </a:defRPr>
            </a:pPr>
            <a:r>
              <a:rPr lang="vi-VN" sz="1800" b="1" strike="noStrike" spc="-1">
                <a:solidFill>
                  <a:srgbClr val="000000"/>
                </a:solidFill>
                <a:latin typeface="Tahoma"/>
              </a:rPr>
              <a:t>Giờ-người theo phòng ban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Dashboard!$N$61</c:f>
              <c:strCache>
                <c:ptCount val="1"/>
                <c:pt idx="0">
                  <c:v>Giờ-người</c:v>
                </c:pt>
              </c:strCache>
            </c:strRef>
          </c:tx>
          <c:spPr>
            <a:solidFill>
              <a:srgbClr val="2E8B8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Tahoma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Dashboard!$J$62:$J$71</c:f>
              <c:strCache>
                <c:ptCount val="10"/>
                <c:pt idx="0">
                  <c:v>Toàn công ty</c:v>
                </c:pt>
                <c:pt idx="1">
                  <c:v>Sản xuất</c:v>
                </c:pt>
                <c:pt idx="2">
                  <c:v>QA/QC</c:v>
                </c:pt>
                <c:pt idx="3">
                  <c:v>Kinh doanh</c:v>
                </c:pt>
                <c:pt idx="4">
                  <c:v>Marketing</c:v>
                </c:pt>
                <c:pt idx="5">
                  <c:v>Nhân sự</c:v>
                </c:pt>
                <c:pt idx="6">
                  <c:v>Tài chính</c:v>
                </c:pt>
                <c:pt idx="7">
                  <c:v>IT</c:v>
                </c:pt>
                <c:pt idx="8">
                  <c:v>Kho vận</c:v>
                </c:pt>
                <c:pt idx="9">
                  <c:v>Ban Giám đốc</c:v>
                </c:pt>
              </c:strCache>
            </c:strRef>
          </c:cat>
          <c:val>
            <c:numRef>
              <c:f>Dashboard!$N$62:$N$71</c:f>
              <c:numCache>
                <c:formatCode>#,##0</c:formatCode>
                <c:ptCount val="10"/>
                <c:pt idx="0">
                  <c:v>1924</c:v>
                </c:pt>
                <c:pt idx="1">
                  <c:v>2176</c:v>
                </c:pt>
                <c:pt idx="2">
                  <c:v>612</c:v>
                </c:pt>
                <c:pt idx="3">
                  <c:v>616</c:v>
                </c:pt>
                <c:pt idx="4">
                  <c:v>172</c:v>
                </c:pt>
                <c:pt idx="5">
                  <c:v>112</c:v>
                </c:pt>
                <c:pt idx="6">
                  <c:v>264</c:v>
                </c:pt>
                <c:pt idx="7">
                  <c:v>372</c:v>
                </c:pt>
                <c:pt idx="8">
                  <c:v>312</c:v>
                </c:pt>
                <c:pt idx="9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62-4EC9-99B5-37C1EFA16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4273580"/>
        <c:axId val="84301798"/>
      </c:barChart>
      <c:catAx>
        <c:axId val="842735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Tahoma"/>
              </a:defRPr>
            </a:pPr>
            <a:endParaRPr lang="en-US"/>
          </a:p>
        </c:txPr>
        <c:crossAx val="84301798"/>
        <c:crosses val="autoZero"/>
        <c:auto val="1"/>
        <c:lblAlgn val="ctr"/>
        <c:lblOffset val="100"/>
        <c:noMultiLvlLbl val="0"/>
      </c:catAx>
      <c:valAx>
        <c:axId val="84301798"/>
        <c:scaling>
          <c:orientation val="minMax"/>
        </c:scaling>
        <c:delete val="0"/>
        <c:axPos val="t"/>
        <c:majorGridlines>
          <c:spPr>
            <a:ln w="9360">
              <a:solidFill>
                <a:srgbClr val="E3ECEC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Tahoma"/>
              </a:defRPr>
            </a:pPr>
            <a:endParaRPr lang="en-US"/>
          </a:p>
        </c:txPr>
        <c:crossAx val="8427358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8</xdr:col>
      <xdr:colOff>504720</xdr:colOff>
      <xdr:row>57</xdr:row>
      <xdr:rowOff>22320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42</xdr:row>
      <xdr:rowOff>0</xdr:rowOff>
    </xdr:from>
    <xdr:to>
      <xdr:col>16</xdr:col>
      <xdr:colOff>152640</xdr:colOff>
      <xdr:row>57</xdr:row>
      <xdr:rowOff>22320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72</xdr:row>
      <xdr:rowOff>0</xdr:rowOff>
    </xdr:from>
    <xdr:to>
      <xdr:col>7</xdr:col>
      <xdr:colOff>489600</xdr:colOff>
      <xdr:row>87</xdr:row>
      <xdr:rowOff>21960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9</xdr:col>
      <xdr:colOff>0</xdr:colOff>
      <xdr:row>72</xdr:row>
      <xdr:rowOff>0</xdr:rowOff>
    </xdr:from>
    <xdr:to>
      <xdr:col>16</xdr:col>
      <xdr:colOff>152640</xdr:colOff>
      <xdr:row>87</xdr:row>
      <xdr:rowOff>21960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57240</xdr:colOff>
      <xdr:row>0</xdr:row>
      <xdr:rowOff>66600</xdr:rowOff>
    </xdr:from>
    <xdr:to>
      <xdr:col>1</xdr:col>
      <xdr:colOff>696960</xdr:colOff>
      <xdr:row>2</xdr:row>
      <xdr:rowOff>142560</xdr:rowOff>
    </xdr:to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240" y="66600"/>
          <a:ext cx="78084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0</xdr:row>
      <xdr:rowOff>66600</xdr:rowOff>
    </xdr:from>
    <xdr:to>
      <xdr:col>2</xdr:col>
      <xdr:colOff>288000</xdr:colOff>
      <xdr:row>2</xdr:row>
      <xdr:rowOff>142560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66600"/>
          <a:ext cx="78084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0</xdr:row>
      <xdr:rowOff>66600</xdr:rowOff>
    </xdr:from>
    <xdr:to>
      <xdr:col>1</xdr:col>
      <xdr:colOff>415080</xdr:colOff>
      <xdr:row>2</xdr:row>
      <xdr:rowOff>142560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66600"/>
          <a:ext cx="78084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0</xdr:row>
      <xdr:rowOff>66600</xdr:rowOff>
    </xdr:from>
    <xdr:to>
      <xdr:col>1</xdr:col>
      <xdr:colOff>696960</xdr:colOff>
      <xdr:row>2</xdr:row>
      <xdr:rowOff>142560</xdr:rowOff>
    </xdr:to>
    <xdr:pic>
      <xdr:nvPicPr>
        <xdr:cNvPr id="7" name="Image 1" descr="Pictur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66600"/>
          <a:ext cx="78084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0</xdr:row>
      <xdr:rowOff>66600</xdr:rowOff>
    </xdr:from>
    <xdr:to>
      <xdr:col>1</xdr:col>
      <xdr:colOff>696960</xdr:colOff>
      <xdr:row>2</xdr:row>
      <xdr:rowOff>142560</xdr:rowOff>
    </xdr:to>
    <xdr:pic>
      <xdr:nvPicPr>
        <xdr:cNvPr id="8" name="Image 1" descr="Picture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66600"/>
          <a:ext cx="780840" cy="78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666720</xdr:colOff>
      <xdr:row>6</xdr:row>
      <xdr:rowOff>114480</xdr:rowOff>
    </xdr:from>
    <xdr:to>
      <xdr:col>7</xdr:col>
      <xdr:colOff>403560</xdr:colOff>
      <xdr:row>12</xdr:row>
      <xdr:rowOff>142560</xdr:rowOff>
    </xdr:to>
    <xdr:pic>
      <xdr:nvPicPr>
        <xdr:cNvPr id="9" name="Image 2" descr="Picture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587640" y="1552680"/>
          <a:ext cx="1428480" cy="1428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57240</xdr:colOff>
      <xdr:row>0</xdr:row>
      <xdr:rowOff>66600</xdr:rowOff>
    </xdr:from>
    <xdr:to>
      <xdr:col>1</xdr:col>
      <xdr:colOff>666600</xdr:colOff>
      <xdr:row>2</xdr:row>
      <xdr:rowOff>142560</xdr:rowOff>
    </xdr:to>
    <xdr:pic>
      <xdr:nvPicPr>
        <xdr:cNvPr id="10" name="Image 1" descr="Picture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66600"/>
          <a:ext cx="742710" cy="78081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3B44"/>
    <pageSetUpPr fitToPage="1"/>
  </sheetPr>
  <dimension ref="A1:S90"/>
  <sheetViews>
    <sheetView showGridLines="0" tabSelected="1" zoomScaleNormal="100" workbookViewId="0">
      <pane ySplit="4" topLeftCell="A5" activePane="bottomLeft" state="frozen"/>
      <selection pane="bottomLeft" activeCell="V15" sqref="V15"/>
    </sheetView>
  </sheetViews>
  <sheetFormatPr defaultColWidth="8.7109375" defaultRowHeight="15" x14ac:dyDescent="0.25"/>
  <cols>
    <col min="1" max="1" width="2" customWidth="1"/>
    <col min="2" max="2" width="12" customWidth="1"/>
    <col min="3" max="8" width="10" customWidth="1"/>
    <col min="9" max="9" width="11.85546875" bestFit="1" customWidth="1"/>
    <col min="10" max="10" width="13" customWidth="1"/>
    <col min="11" max="11" width="10" customWidth="1"/>
    <col min="12" max="13" width="12" customWidth="1"/>
    <col min="14" max="17" width="10" customWidth="1"/>
    <col min="18" max="18" width="2" customWidth="1"/>
    <col min="19" max="19" width="3" bestFit="1" customWidth="1"/>
  </cols>
  <sheetData>
    <row r="1" spans="1:18" ht="33.75" customHeight="1" x14ac:dyDescent="0.4">
      <c r="A1" s="2"/>
      <c r="B1" s="2"/>
      <c r="C1" s="2"/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.75" customHeight="1" x14ac:dyDescent="0.25">
      <c r="A2" s="2"/>
      <c r="B2" s="2"/>
      <c r="C2" s="2"/>
      <c r="D2" s="4" t="str">
        <f>'Cài đặt'!$C$7&amp;"  |  "&amp;'Cài đặt'!$C$8</f>
        <v>CÔNG TY CỔ PHẦN DƯỢC PHẨM ABC  |  Phòng Đào tạo &amp; Phát triển (L&amp;D)</v>
      </c>
      <c r="E2" s="2"/>
      <c r="F2" s="2"/>
      <c r="G2" s="2"/>
      <c r="H2" s="2"/>
      <c r="I2" s="2"/>
      <c r="J2" s="2"/>
      <c r="K2" s="2"/>
      <c r="L2" s="2"/>
      <c r="M2" s="2"/>
      <c r="N2" s="99" t="s">
        <v>1</v>
      </c>
      <c r="O2" s="99"/>
      <c r="P2" s="100">
        <v>2026</v>
      </c>
      <c r="Q2" s="100"/>
      <c r="R2" s="2"/>
    </row>
    <row r="3" spans="1:18" ht="24" customHeight="1" x14ac:dyDescent="0.25">
      <c r="A3" s="2"/>
      <c r="B3" s="2"/>
      <c r="C3" s="2"/>
      <c r="D3" s="5" t="s">
        <v>2</v>
      </c>
      <c r="E3" s="2"/>
      <c r="F3" s="2"/>
      <c r="G3" s="2"/>
      <c r="H3" s="2"/>
      <c r="I3" s="2"/>
      <c r="J3" s="2"/>
      <c r="K3" s="2"/>
      <c r="L3" s="2"/>
      <c r="M3" s="2"/>
      <c r="N3" s="101" t="str">
        <f ca="1">"Cập nhật: "&amp;TEXT(TODAY(),"dd/mm/yyyy")</f>
        <v>Cập nhật: 20/10/2026</v>
      </c>
      <c r="O3" s="101"/>
      <c r="P3" s="101"/>
      <c r="Q3" s="101"/>
      <c r="R3" s="2"/>
    </row>
    <row r="4" spans="1:18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9.75" customHeight="1" x14ac:dyDescent="0.25"/>
    <row r="6" spans="1:18" ht="24" customHeight="1" x14ac:dyDescent="0.25">
      <c r="B6" s="7" t="str">
        <f>"CHỈ SỐ CHÍNH NĂM "&amp;$P$2</f>
        <v>CHỈ SỐ CHÍNH NĂM 2026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8" ht="21.75" customHeight="1" x14ac:dyDescent="0.25">
      <c r="B7" s="102" t="s">
        <v>3</v>
      </c>
      <c r="C7" s="102"/>
      <c r="D7" s="102"/>
      <c r="E7" s="102"/>
      <c r="F7" s="103" t="s">
        <v>4</v>
      </c>
      <c r="G7" s="103"/>
      <c r="H7" s="103"/>
      <c r="I7" s="103"/>
      <c r="J7" s="104" t="s">
        <v>5</v>
      </c>
      <c r="K7" s="104"/>
      <c r="L7" s="104"/>
      <c r="M7" s="104"/>
      <c r="N7" s="102" t="s">
        <v>6</v>
      </c>
      <c r="O7" s="102"/>
      <c r="P7" s="102"/>
      <c r="Q7" s="102"/>
    </row>
    <row r="8" spans="1:18" ht="30" customHeight="1" x14ac:dyDescent="0.25">
      <c r="B8" s="105">
        <f>COUNTIFS(Data!$W$7:$W$206,$P$2,Data!$T$7:$T$206,"")</f>
        <v>36</v>
      </c>
      <c r="C8" s="105"/>
      <c r="D8" s="105"/>
      <c r="E8" s="105"/>
      <c r="F8" s="106">
        <f ca="1">IFERROR(COUNTIFS(Data!$W$7:$W$206,$P$2,Data!$T$7:$T$206,"",Data!$U$7:$U$206,"Đã hoàn thành")/COUNTIFS(Data!$W$7:$W$206,$P$2,Data!$F$7:$F$206,"&lt;"&amp;TODAY()),"-")</f>
        <v>0.966666666666667</v>
      </c>
      <c r="G8" s="106"/>
      <c r="H8" s="106"/>
      <c r="I8" s="106"/>
      <c r="J8" s="107">
        <f>IFERROR(SUMIFS(Data!$Z$7:$Z$206,Data!$W$7:$W$206,$P$2,Data!$T$7:$T$206,"")/'Cài đặt'!$C$12,0)</f>
        <v>6.53176470588235</v>
      </c>
      <c r="K8" s="107"/>
      <c r="L8" s="107"/>
      <c r="M8" s="107"/>
      <c r="N8" s="108">
        <f>SUMIFS(Data!$P$7:$P$206,Data!$W$7:$W$206,$P$2,Data!$T$7:$T$206,"")</f>
        <v>722</v>
      </c>
      <c r="O8" s="108"/>
      <c r="P8" s="108"/>
      <c r="Q8" s="108"/>
    </row>
    <row r="9" spans="1:18" ht="18" customHeight="1" x14ac:dyDescent="0.25">
      <c r="B9" s="109" t="str">
        <f ca="1">"Đã xong "&amp;COUNTIFS(Data!$W$7:$W$206,$P$2,Data!$T$7:$T$206,"",Data!$U$7:$U$206,"Đã hoàn thành")&amp;"  |  Còn lại "&amp;(COUNTIFS(Data!$W$7:$W$206,$P$2,Data!$T$7:$T$206,"")-COUNTIFS(Data!$W$7:$W$206,$P$2,Data!$T$7:$T$206,"",Data!$U$7:$U$206,"Đã hoàn thành"))&amp;"  |  Hủy/Hoãn "&amp;COUNTIFS(Data!$W$7:$W$206,$P$2,Data!$T$7:$T$206,"&lt;&gt;")</f>
        <v>Đã xong 29  |  Còn lại 7  |  Hủy/Hoãn 2</v>
      </c>
      <c r="C9" s="109"/>
      <c r="D9" s="109"/>
      <c r="E9" s="109"/>
      <c r="F9" s="109" t="str">
        <f>"Hoàn thành / số khóa đã đến hạn"</f>
        <v>Hoàn thành / số khóa đã đến hạn</v>
      </c>
      <c r="G9" s="109"/>
      <c r="H9" s="109"/>
      <c r="I9" s="109"/>
      <c r="J9" s="109" t="str">
        <f>"Mục tiêu "&amp;TEXT('Cài đặt'!$C$13,"0.0")&amp;" giờ  |  đạt "&amp;TEXT(IFERROR(SUMIFS(Data!$Z$7:$Z$206,Data!$W$7:$W$206,$P$2,Data!$T$7:$T$206,"")/'Cài đặt'!$C$12/'Cài đặt'!$C$13,0),"0%")</f>
        <v>Mục tiêu 16.0 giờ  |  đạt 41%</v>
      </c>
      <c r="K9" s="109"/>
      <c r="L9" s="109"/>
      <c r="M9" s="109"/>
      <c r="N9" s="109" t="str">
        <f>"Tổng "&amp;TEXT(SUMIFS(Data!$Z$7:$Z$206,Data!$W$7:$W$206,$P$2,Data!$T$7:$T$206,""),"#,##0")&amp;" giờ-người  |  "&amp;TEXT(SUMIFS(Data!$I$7:$I$206,Data!$W$7:$W$206,$P$2,Data!$T$7:$T$206,""),"#,##0")&amp;" giờ lớp"</f>
        <v>Tổng 5,552 giờ-người  |  288 giờ lớp</v>
      </c>
      <c r="O9" s="109"/>
      <c r="P9" s="109"/>
      <c r="Q9" s="109"/>
    </row>
    <row r="10" spans="1:18" ht="7.5" customHeight="1" x14ac:dyDescent="0.25"/>
    <row r="11" spans="1:18" ht="21.75" customHeight="1" x14ac:dyDescent="0.25">
      <c r="B11" s="110" t="s">
        <v>7</v>
      </c>
      <c r="C11" s="110"/>
      <c r="D11" s="110"/>
      <c r="E11" s="110"/>
      <c r="F11" s="111" t="s">
        <v>8</v>
      </c>
      <c r="G11" s="111"/>
      <c r="H11" s="111"/>
      <c r="I11" s="111"/>
      <c r="J11" s="112" t="s">
        <v>9</v>
      </c>
      <c r="K11" s="112"/>
      <c r="L11" s="112"/>
      <c r="M11" s="112"/>
      <c r="N11" s="113" t="s">
        <v>10</v>
      </c>
      <c r="O11" s="113"/>
      <c r="P11" s="113"/>
      <c r="Q11" s="113"/>
    </row>
    <row r="12" spans="1:18" ht="30" customHeight="1" x14ac:dyDescent="0.25">
      <c r="B12" s="106">
        <f ca="1">IFERROR(SUMIFS(Data!$P$7:$P$206,Data!$W$7:$W$206,$P$2,Data!$T$7:$T$206,"",Data!$U$7:$U$206,"Đã hoàn thành")/SUMIFS(Data!$O$7:$O$206,Data!$W$7:$W$206,$P$2,Data!$T$7:$T$206,"",Data!$U$7:$U$206,"Đã hoàn thành"),"-")</f>
        <v>0.918575063613232</v>
      </c>
      <c r="C12" s="106"/>
      <c r="D12" s="106"/>
      <c r="E12" s="106"/>
      <c r="F12" s="114">
        <f>IFERROR(AVERAGEIFS(Data!$S$7:$S$206,Data!$W$7:$W$206,$P$2,Data!$T$7:$T$206,""),"-")</f>
        <v>4.30344827586207</v>
      </c>
      <c r="G12" s="114"/>
      <c r="H12" s="114"/>
      <c r="I12" s="114"/>
      <c r="J12" s="106">
        <f ca="1">IFERROR(SUMIFS(Data!$R$7:$R$206,Data!$W$7:$W$206,$P$2,Data!$T$7:$T$206,"",Data!$U$7:$U$206,"Đã hoàn thành")/IFERROR(INDEX('Cài đặt'!$C$20:$C$25,MATCH($P$2,'Cài đặt'!$B$20:$B$25,0)),0),"-")</f>
        <v>0.765714285714286</v>
      </c>
      <c r="K12" s="106"/>
      <c r="L12" s="106"/>
      <c r="M12" s="106"/>
      <c r="N12" s="108">
        <f ca="1">IFERROR(SUMIFS(Data!$R$7:$R$206,Data!$W$7:$W$206,$P$2,Data!$T$7:$T$206,"",Data!$U$7:$U$206,"Đã hoàn thành")/SUMIFS(Data!$Z$7:$Z$206,Data!$W$7:$W$206,$P$2,Data!$T$7:$T$206,"",Data!$U$7:$U$206,"Đã hoàn thành"),0)</f>
        <v>48270.8933717579</v>
      </c>
      <c r="O12" s="108"/>
      <c r="P12" s="108"/>
      <c r="Q12" s="108"/>
    </row>
    <row r="13" spans="1:18" ht="18" customHeight="1" x14ac:dyDescent="0.25">
      <c r="B13" s="109" t="str">
        <f>"Mục tiêu "&amp;TEXT('Cài đặt'!$C$14,"0%")&amp;"  |  tính trên khóa đã xong"</f>
        <v>Mục tiêu 90%  |  tính trên khóa đã xong</v>
      </c>
      <c r="C13" s="109"/>
      <c r="D13" s="109"/>
      <c r="E13" s="109"/>
      <c r="F13" s="109" t="str">
        <f>"Mục tiêu "&amp;TEXT('Cài đặt'!$C$15,"0.0")&amp;" / 5"</f>
        <v>Mục tiêu 4.2 / 5</v>
      </c>
      <c r="G13" s="109"/>
      <c r="H13" s="109"/>
      <c r="I13" s="109"/>
      <c r="J13" s="109" t="str">
        <f ca="1">"Đã chi "&amp;TEXT(SUMIFS(Data!$R$7:$R$206,Data!$W$7:$W$206,$P$2,Data!$T$7:$T$206,"",Data!$U$7:$U$206,"Đã hoàn thành")/1000000,"#,##0")&amp;" / "&amp;TEXT(IFERROR(INDEX('Cài đặt'!$C$20:$C$25,MATCH($P$2,'Cài đặt'!$B$20:$B$25,0)),0)/1000000,"#,##0")&amp;" triệu đ"</f>
        <v>Đã chi 268 / 350 triệu đ</v>
      </c>
      <c r="K13" s="109"/>
      <c r="L13" s="109"/>
      <c r="M13" s="109"/>
      <c r="N13" s="109" t="str">
        <f ca="1">"Cam kết còn lại: "&amp;TEXT((SUMIFS(Data!$R$7:$R$206,Data!$W$7:$W$206,$P$2,Data!$T$7:$T$206,"")-SUMIFS(Data!$R$7:$R$206,Data!$W$7:$W$206,$P$2,Data!$T$7:$T$206,"",Data!$U$7:$U$206,"Đã hoàn thành"))/1000000,"#,##0")&amp;" triệu đ"</f>
        <v>Cam kết còn lại: 36 triệu đ</v>
      </c>
      <c r="O13" s="109"/>
      <c r="P13" s="109"/>
      <c r="Q13" s="109"/>
    </row>
    <row r="14" spans="1:18" ht="12" customHeight="1" x14ac:dyDescent="0.25"/>
    <row r="15" spans="1:18" ht="24" customHeight="1" x14ac:dyDescent="0.25">
      <c r="B15" s="7" t="s">
        <v>11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ht="24" customHeight="1" x14ac:dyDescent="0.25">
      <c r="B16" s="9" t="s">
        <v>12</v>
      </c>
      <c r="C16" s="9" t="s">
        <v>13</v>
      </c>
      <c r="D16" s="9" t="s">
        <v>14</v>
      </c>
      <c r="E16" s="115" t="s">
        <v>15</v>
      </c>
      <c r="F16" s="115"/>
      <c r="G16" s="115"/>
      <c r="H16" s="115"/>
      <c r="I16" s="9" t="s">
        <v>16</v>
      </c>
      <c r="J16" s="115" t="s">
        <v>17</v>
      </c>
      <c r="K16" s="115"/>
      <c r="L16" s="9" t="s">
        <v>18</v>
      </c>
      <c r="M16" s="9" t="s">
        <v>19</v>
      </c>
      <c r="N16" s="115" t="s">
        <v>20</v>
      </c>
      <c r="O16" s="115"/>
      <c r="P16" s="9" t="s">
        <v>21</v>
      </c>
      <c r="Q16" s="9" t="s">
        <v>22</v>
      </c>
    </row>
    <row r="17" spans="2:19" ht="21" customHeight="1" x14ac:dyDescent="0.25">
      <c r="B17" s="10">
        <f ca="1">IF($S17="","",INDEX(Data!$E$7:$E$206,$S17))</f>
        <v>46314</v>
      </c>
      <c r="C17" s="10">
        <f ca="1">IF($S17="","",INDEX(Data!$F$7:$F$206,$S17))</f>
        <v>46316</v>
      </c>
      <c r="D17" s="11" t="str">
        <f ca="1">IF($S17="","",INDEX(Data!$B$7:$B$206,$S17))</f>
        <v>DT26-031</v>
      </c>
      <c r="E17" s="116" t="str">
        <f ca="1">IF($S17="","",INDEX(Data!$C$7:$C$206,$S17))</f>
        <v>Kỹ năng viết email chuyên nghiệp</v>
      </c>
      <c r="F17" s="116"/>
      <c r="G17" s="116"/>
      <c r="H17" s="116"/>
      <c r="I17" s="11" t="str">
        <f ca="1">IF($S17="","",INDEX(Data!$D$7:$D$206,$S17))</f>
        <v>Soft Skill</v>
      </c>
      <c r="J17" s="117" t="str">
        <f ca="1">IF($S17="","",INDEX(Data!$J$7:$J$206,$S17))</f>
        <v>Phạm Thu Dung</v>
      </c>
      <c r="K17" s="117"/>
      <c r="L17" s="11" t="str">
        <f ca="1">IF($S17="","",INDEX(Data!$N$7:$N$206,$S17))</f>
        <v>Toàn công ty</v>
      </c>
      <c r="M17" s="11" t="str">
        <f ca="1">IF($S17="","",INDEX(Data!$L$7:$L$206,$S17))</f>
        <v>Online</v>
      </c>
      <c r="N17" s="117" t="str">
        <f ca="1">IF($S17="","",INDEX(Data!$M$7:$M$206,$S17))</f>
        <v>MS Teams</v>
      </c>
      <c r="O17" s="117"/>
      <c r="P17" s="12">
        <f ca="1">IF($S17="","",INDEX(Data!$O$7:$O$206,$S17))</f>
        <v>60</v>
      </c>
      <c r="Q17" s="13" t="str">
        <f ca="1">IF($S17="","",IF(INDEX(Data!$E$7:$E$206,$S17)&lt;=TODAY(),"Đang học",INDEX(Data!$E$7:$E$206,$S17)-TODAY()&amp;" ngày"))</f>
        <v>Đang học</v>
      </c>
      <c r="S17">
        <f ca="1">IFERROR(MATCH(SMALL(Data!$AA$7:$AA$206,1),Data!$AA$7:$AA$206,0),"")</f>
        <v>31</v>
      </c>
    </row>
    <row r="18" spans="2:19" ht="21" customHeight="1" x14ac:dyDescent="0.25">
      <c r="B18" s="14">
        <f ca="1">IF($S18="","",INDEX(Data!$E$7:$E$206,$S18))</f>
        <v>46316</v>
      </c>
      <c r="C18" s="14">
        <f ca="1">IF($S18="","",INDEX(Data!$F$7:$F$206,$S18))</f>
        <v>46316</v>
      </c>
      <c r="D18" s="15" t="str">
        <f ca="1">IF($S18="","",INDEX(Data!$B$7:$B$206,$S18))</f>
        <v>DT26-033</v>
      </c>
      <c r="E18" s="118" t="str">
        <f ca="1">IF($S18="","",INDEX(Data!$C$7:$C$206,$S18))</f>
        <v>Kỹ năng phỏng vấn cho Hiring Manager</v>
      </c>
      <c r="F18" s="118"/>
      <c r="G18" s="118"/>
      <c r="H18" s="118"/>
      <c r="I18" s="15" t="str">
        <f ca="1">IF($S18="","",INDEX(Data!$D$7:$D$206,$S18))</f>
        <v>Leadership</v>
      </c>
      <c r="J18" s="119" t="str">
        <f ca="1">IF($S18="","",INDEX(Data!$J$7:$J$206,$S18))</f>
        <v>Đặng Ngọc Hà</v>
      </c>
      <c r="K18" s="119"/>
      <c r="L18" s="15" t="str">
        <f ca="1">IF($S18="","",INDEX(Data!$N$7:$N$206,$S18))</f>
        <v>Toàn công ty</v>
      </c>
      <c r="M18" s="15" t="str">
        <f ca="1">IF($S18="","",INDEX(Data!$L$7:$L$206,$S18))</f>
        <v>Offline</v>
      </c>
      <c r="N18" s="119" t="str">
        <f ca="1">IF($S18="","",INDEX(Data!$M$7:$M$206,$S18))</f>
        <v>Phòng họp A</v>
      </c>
      <c r="O18" s="119"/>
      <c r="P18" s="16">
        <f ca="1">IF($S18="","",INDEX(Data!$O$7:$O$206,$S18))</f>
        <v>20</v>
      </c>
      <c r="Q18" s="17" t="str">
        <f ca="1">IF($S18="","",IF(INDEX(Data!$E$7:$E$206,$S18)&lt;=TODAY(),"Đang học",INDEX(Data!$E$7:$E$206,$S18)-TODAY()&amp;" ngày"))</f>
        <v>1 ngày</v>
      </c>
      <c r="S18">
        <f ca="1">IFERROR(MATCH(SMALL(Data!$AA$7:$AA$206,2),Data!$AA$7:$AA$206,0),"")</f>
        <v>33</v>
      </c>
    </row>
    <row r="19" spans="2:19" ht="21" customHeight="1" x14ac:dyDescent="0.25">
      <c r="B19" s="10">
        <f ca="1">IF($S19="","",INDEX(Data!$E$7:$E$206,$S19))</f>
        <v>46316</v>
      </c>
      <c r="C19" s="10">
        <f ca="1">IF($S19="","",INDEX(Data!$F$7:$F$206,$S19))</f>
        <v>46316</v>
      </c>
      <c r="D19" s="11" t="str">
        <f ca="1">IF($S19="","",INDEX(Data!$B$7:$B$206,$S19))</f>
        <v>DT26-034</v>
      </c>
      <c r="E19" s="116" t="str">
        <f ca="1">IF($S19="","",INDEX(Data!$C$7:$C$206,$S19))</f>
        <v>An toàn hóa chất phòng thí nghiệm</v>
      </c>
      <c r="F19" s="116"/>
      <c r="G19" s="116"/>
      <c r="H19" s="116"/>
      <c r="I19" s="11" t="str">
        <f ca="1">IF($S19="","",INDEX(Data!$D$7:$D$206,$S19))</f>
        <v>Compliance</v>
      </c>
      <c r="J19" s="117" t="str">
        <f ca="1">IF($S19="","",INDEX(Data!$J$7:$J$206,$S19))</f>
        <v>Lê Hoàng Cường</v>
      </c>
      <c r="K19" s="117"/>
      <c r="L19" s="11" t="str">
        <f ca="1">IF($S19="","",INDEX(Data!$N$7:$N$206,$S19))</f>
        <v>QA/QC</v>
      </c>
      <c r="M19" s="11" t="str">
        <f ca="1">IF($S19="","",INDEX(Data!$L$7:$L$206,$S19))</f>
        <v>Offline</v>
      </c>
      <c r="N19" s="117" t="str">
        <f ca="1">IF($S19="","",INDEX(Data!$M$7:$M$206,$S19))</f>
        <v>Phòng QC</v>
      </c>
      <c r="O19" s="117"/>
      <c r="P19" s="12">
        <f ca="1">IF($S19="","",INDEX(Data!$O$7:$O$206,$S19))</f>
        <v>12</v>
      </c>
      <c r="Q19" s="13" t="str">
        <f ca="1">IF($S19="","",IF(INDEX(Data!$E$7:$E$206,$S19)&lt;=TODAY(),"Đang học",INDEX(Data!$E$7:$E$206,$S19)-TODAY()&amp;" ngày"))</f>
        <v>1 ngày</v>
      </c>
      <c r="S19">
        <f ca="1">IFERROR(MATCH(SMALL(Data!$AA$7:$AA$206,3),Data!$AA$7:$AA$206,0),"")</f>
        <v>34</v>
      </c>
    </row>
    <row r="20" spans="2:19" ht="21" customHeight="1" x14ac:dyDescent="0.25">
      <c r="B20" s="14">
        <f ca="1">IF($S20="","",INDEX(Data!$E$7:$E$206,$S20))</f>
        <v>46351</v>
      </c>
      <c r="C20" s="14">
        <f ca="1">IF($S20="","",INDEX(Data!$F$7:$F$206,$S20))</f>
        <v>46351</v>
      </c>
      <c r="D20" s="15" t="str">
        <f ca="1">IF($S20="","",INDEX(Data!$B$7:$B$206,$S20))</f>
        <v>DT26-035</v>
      </c>
      <c r="E20" s="118" t="str">
        <f ca="1">IF($S20="","",INDEX(Data!$C$7:$C$206,$S20))</f>
        <v>Hội nhập nhân viên mới – Đợt 5</v>
      </c>
      <c r="F20" s="118"/>
      <c r="G20" s="118"/>
      <c r="H20" s="118"/>
      <c r="I20" s="15" t="str">
        <f ca="1">IF($S20="","",INDEX(Data!$D$7:$D$206,$S20))</f>
        <v>Hội nhập</v>
      </c>
      <c r="J20" s="119" t="str">
        <f ca="1">IF($S20="","",INDEX(Data!$J$7:$J$206,$S20))</f>
        <v>Phạm Thu Dung</v>
      </c>
      <c r="K20" s="119"/>
      <c r="L20" s="15" t="str">
        <f ca="1">IF($S20="","",INDEX(Data!$N$7:$N$206,$S20))</f>
        <v>Toàn công ty</v>
      </c>
      <c r="M20" s="15" t="str">
        <f ca="1">IF($S20="","",INDEX(Data!$L$7:$L$206,$S20))</f>
        <v>Offline</v>
      </c>
      <c r="N20" s="119" t="str">
        <f ca="1">IF($S20="","",INDEX(Data!$M$7:$M$206,$S20))</f>
        <v>Hội trường</v>
      </c>
      <c r="O20" s="119"/>
      <c r="P20" s="16">
        <f ca="1">IF($S20="","",INDEX(Data!$O$7:$O$206,$S20))</f>
        <v>30</v>
      </c>
      <c r="Q20" s="17" t="str">
        <f ca="1">IF($S20="","",IF(INDEX(Data!$E$7:$E$206,$S20)&lt;=TODAY(),"Đang học",INDEX(Data!$E$7:$E$206,$S20)-TODAY()&amp;" ngày"))</f>
        <v>36 ngày</v>
      </c>
      <c r="S20">
        <f ca="1">IFERROR(MATCH(SMALL(Data!$AA$7:$AA$206,4),Data!$AA$7:$AA$206,0),"")</f>
        <v>35</v>
      </c>
    </row>
    <row r="21" spans="2:19" ht="21" customHeight="1" x14ac:dyDescent="0.25">
      <c r="B21" s="10">
        <f ca="1">IF($S21="","",INDEX(Data!$E$7:$E$206,$S21))</f>
        <v>46351</v>
      </c>
      <c r="C21" s="10">
        <f ca="1">IF($S21="","",INDEX(Data!$F$7:$F$206,$S21))</f>
        <v>46351</v>
      </c>
      <c r="D21" s="11" t="str">
        <f ca="1">IF($S21="","",INDEX(Data!$B$7:$B$206,$S21))</f>
        <v>DT26-036</v>
      </c>
      <c r="E21" s="116" t="str">
        <f ca="1">IF($S21="","",INDEX(Data!$C$7:$C$206,$S21))</f>
        <v>Quản lý dự án Agile</v>
      </c>
      <c r="F21" s="116"/>
      <c r="G21" s="116"/>
      <c r="H21" s="116"/>
      <c r="I21" s="11" t="str">
        <f ca="1">IF($S21="","",INDEX(Data!$D$7:$D$206,$S21))</f>
        <v>Technical</v>
      </c>
      <c r="J21" s="117" t="str">
        <f ca="1">IF($S21="","",INDEX(Data!$J$7:$J$206,$S21))</f>
        <v>Đơn vị đào tạo kỹ năng</v>
      </c>
      <c r="K21" s="117"/>
      <c r="L21" s="11" t="str">
        <f ca="1">IF($S21="","",INDEX(Data!$N$7:$N$206,$S21))</f>
        <v>IT</v>
      </c>
      <c r="M21" s="11" t="str">
        <f ca="1">IF($S21="","",INDEX(Data!$L$7:$L$206,$S21))</f>
        <v>Offline</v>
      </c>
      <c r="N21" s="117" t="str">
        <f ca="1">IF($S21="","",INDEX(Data!$M$7:$M$206,$S21))</f>
        <v>Phòng họp B</v>
      </c>
      <c r="O21" s="117"/>
      <c r="P21" s="12">
        <f ca="1">IF($S21="","",INDEX(Data!$O$7:$O$206,$S21))</f>
        <v>10</v>
      </c>
      <c r="Q21" s="13" t="str">
        <f ca="1">IF($S21="","",IF(INDEX(Data!$E$7:$E$206,$S21)&lt;=TODAY(),"Đang học",INDEX(Data!$E$7:$E$206,$S21)-TODAY()&amp;" ngày"))</f>
        <v>36 ngày</v>
      </c>
      <c r="S21">
        <f ca="1">IFERROR(MATCH(SMALL(Data!$AA$7:$AA$206,5),Data!$AA$7:$AA$206,0),"")</f>
        <v>36</v>
      </c>
    </row>
    <row r="22" spans="2:19" ht="21" customHeight="1" x14ac:dyDescent="0.25">
      <c r="B22" s="14">
        <f ca="1">IF($S22="","",INDEX(Data!$E$7:$E$206,$S22))</f>
        <v>46365</v>
      </c>
      <c r="C22" s="14">
        <f ca="1">IF($S22="","",INDEX(Data!$F$7:$F$206,$S22))</f>
        <v>46365</v>
      </c>
      <c r="D22" s="15" t="str">
        <f ca="1">IF($S22="","",INDEX(Data!$B$7:$B$206,$S22))</f>
        <v>DT26-037</v>
      </c>
      <c r="E22" s="118" t="str">
        <f ca="1">IF($S22="","",INDEX(Data!$C$7:$C$206,$S22))</f>
        <v>Tổng kết &amp; lập kế hoạch đào tạo 2027</v>
      </c>
      <c r="F22" s="118"/>
      <c r="G22" s="118"/>
      <c r="H22" s="118"/>
      <c r="I22" s="15" t="str">
        <f ca="1">IF($S22="","",INDEX(Data!$D$7:$D$206,$S22))</f>
        <v>Leadership</v>
      </c>
      <c r="J22" s="119" t="str">
        <f ca="1">IF($S22="","",INDEX(Data!$J$7:$J$206,$S22))</f>
        <v>Phạm Thu Dung</v>
      </c>
      <c r="K22" s="119"/>
      <c r="L22" s="15" t="str">
        <f ca="1">IF($S22="","",INDEX(Data!$N$7:$N$206,$S22))</f>
        <v>Ban Giám đốc</v>
      </c>
      <c r="M22" s="15" t="str">
        <f ca="1">IF($S22="","",INDEX(Data!$L$7:$L$206,$S22))</f>
        <v>Offline</v>
      </c>
      <c r="N22" s="119" t="str">
        <f ca="1">IF($S22="","",INDEX(Data!$M$7:$M$206,$S22))</f>
        <v>Phòng họp B</v>
      </c>
      <c r="O22" s="119"/>
      <c r="P22" s="16">
        <f ca="1">IF($S22="","",INDEX(Data!$O$7:$O$206,$S22))</f>
        <v>10</v>
      </c>
      <c r="Q22" s="17" t="str">
        <f ca="1">IF($S22="","",IF(INDEX(Data!$E$7:$E$206,$S22)&lt;=TODAY(),"Đang học",INDEX(Data!$E$7:$E$206,$S22)-TODAY()&amp;" ngày"))</f>
        <v>50 ngày</v>
      </c>
      <c r="S22">
        <f ca="1">IFERROR(MATCH(SMALL(Data!$AA$7:$AA$206,6),Data!$AA$7:$AA$206,0),"")</f>
        <v>37</v>
      </c>
    </row>
    <row r="23" spans="2:19" ht="21" customHeight="1" x14ac:dyDescent="0.25">
      <c r="B23" s="10">
        <f ca="1">IF($S23="","",INDEX(Data!$E$7:$E$206,$S23))</f>
        <v>46384</v>
      </c>
      <c r="C23" s="10">
        <f ca="1">IF($S23="","",INDEX(Data!$F$7:$F$206,$S23))</f>
        <v>46385</v>
      </c>
      <c r="D23" s="11" t="str">
        <f ca="1">IF($S23="","",INDEX(Data!$B$7:$B$206,$S23))</f>
        <v>DT26-038</v>
      </c>
      <c r="E23" s="116" t="str">
        <f ca="1">IF($S23="","",INDEX(Data!$C$7:$C$206,$S23))</f>
        <v>Phân tích tài chính cho quản lý</v>
      </c>
      <c r="F23" s="116"/>
      <c r="G23" s="116"/>
      <c r="H23" s="116"/>
      <c r="I23" s="11" t="str">
        <f ca="1">IF($S23="","",INDEX(Data!$D$7:$D$206,$S23))</f>
        <v>Technical</v>
      </c>
      <c r="J23" s="117" t="str">
        <f ca="1">IF($S23="","",INDEX(Data!$J$7:$J$206,$S23))</f>
        <v>Đơn vị đào tạo kỹ năng</v>
      </c>
      <c r="K23" s="117"/>
      <c r="L23" s="11" t="str">
        <f ca="1">IF($S23="","",INDEX(Data!$N$7:$N$206,$S23))</f>
        <v>Toàn công ty</v>
      </c>
      <c r="M23" s="11" t="str">
        <f ca="1">IF($S23="","",INDEX(Data!$L$7:$L$206,$S23))</f>
        <v>Offline</v>
      </c>
      <c r="N23" s="117" t="str">
        <f ca="1">IF($S23="","",INDEX(Data!$M$7:$M$206,$S23))</f>
        <v>Hội trường</v>
      </c>
      <c r="O23" s="117"/>
      <c r="P23" s="12">
        <f ca="1">IF($S23="","",INDEX(Data!$O$7:$O$206,$S23))</f>
        <v>25</v>
      </c>
      <c r="Q23" s="13" t="str">
        <f ca="1">IF($S23="","",IF(INDEX(Data!$E$7:$E$206,$S23)&lt;=TODAY(),"Đang học",INDEX(Data!$E$7:$E$206,$S23)-TODAY()&amp;" ngày"))</f>
        <v>69 ngày</v>
      </c>
      <c r="S23">
        <f ca="1">IFERROR(MATCH(SMALL(Data!$AA$7:$AA$206,7),Data!$AA$7:$AA$206,0),"")</f>
        <v>38</v>
      </c>
    </row>
    <row r="24" spans="2:19" ht="21" customHeight="1" x14ac:dyDescent="0.25">
      <c r="B24" s="14" t="str">
        <f ca="1">IF($S24="","",INDEX(Data!$E$7:$E$206,$S24))</f>
        <v/>
      </c>
      <c r="C24" s="14" t="str">
        <f ca="1">IF($S24="","",INDEX(Data!$F$7:$F$206,$S24))</f>
        <v/>
      </c>
      <c r="D24" s="15" t="str">
        <f ca="1">IF($S24="","",INDEX(Data!$B$7:$B$206,$S24))</f>
        <v/>
      </c>
      <c r="E24" s="118" t="str">
        <f ca="1">IF($S24="","",INDEX(Data!$C$7:$C$206,$S24))</f>
        <v/>
      </c>
      <c r="F24" s="118"/>
      <c r="G24" s="118"/>
      <c r="H24" s="118"/>
      <c r="I24" s="15" t="str">
        <f ca="1">IF($S24="","",INDEX(Data!$D$7:$D$206,$S24))</f>
        <v/>
      </c>
      <c r="J24" s="119" t="str">
        <f ca="1">IF($S24="","",INDEX(Data!$J$7:$J$206,$S24))</f>
        <v/>
      </c>
      <c r="K24" s="119"/>
      <c r="L24" s="15" t="str">
        <f ca="1">IF($S24="","",INDEX(Data!$N$7:$N$206,$S24))</f>
        <v/>
      </c>
      <c r="M24" s="15" t="str">
        <f ca="1">IF($S24="","",INDEX(Data!$L$7:$L$206,$S24))</f>
        <v/>
      </c>
      <c r="N24" s="119" t="str">
        <f ca="1">IF($S24="","",INDEX(Data!$M$7:$M$206,$S24))</f>
        <v/>
      </c>
      <c r="O24" s="119"/>
      <c r="P24" s="16" t="str">
        <f ca="1">IF($S24="","",INDEX(Data!$O$7:$O$206,$S24))</f>
        <v/>
      </c>
      <c r="Q24" s="17" t="str">
        <f ca="1">IF($S24="","",IF(INDEX(Data!$E$7:$E$206,$S24)&lt;=TODAY(),"Đang học",INDEX(Data!$E$7:$E$206,$S24)-TODAY()&amp;" ngày"))</f>
        <v/>
      </c>
      <c r="S24" t="str">
        <f ca="1">IFERROR(MATCH(SMALL(Data!$AA$7:$AA$206,8),Data!$AA$7:$AA$206,0),"")</f>
        <v/>
      </c>
    </row>
    <row r="25" spans="2:19" ht="12" customHeight="1" x14ac:dyDescent="0.25"/>
    <row r="26" spans="2:19" ht="24" customHeight="1" x14ac:dyDescent="0.25">
      <c r="B26" s="7" t="str">
        <f>"TIẾN ĐỘ THEO THÁNG  |  "&amp;$P$2</f>
        <v>TIẾN ĐỘ THEO THÁNG  |  2026</v>
      </c>
      <c r="C26" s="8"/>
      <c r="D26" s="8"/>
      <c r="E26" s="8"/>
      <c r="F26" s="8"/>
      <c r="G26" s="8"/>
      <c r="H26" s="8"/>
      <c r="I26" s="8"/>
      <c r="J26" s="8"/>
      <c r="K26" s="8"/>
      <c r="M26" s="7" t="s">
        <v>23</v>
      </c>
      <c r="N26" s="8"/>
      <c r="O26" s="8"/>
      <c r="P26" s="8"/>
      <c r="Q26" s="8"/>
    </row>
    <row r="27" spans="2:19" ht="31.5" customHeight="1" x14ac:dyDescent="0.25">
      <c r="B27" s="9" t="s">
        <v>24</v>
      </c>
      <c r="C27" s="9" t="s">
        <v>25</v>
      </c>
      <c r="D27" s="9" t="s">
        <v>26</v>
      </c>
      <c r="E27" s="9" t="s">
        <v>27</v>
      </c>
      <c r="F27" s="9" t="s">
        <v>28</v>
      </c>
      <c r="G27" s="9" t="s">
        <v>29</v>
      </c>
      <c r="H27" s="9" t="s">
        <v>30</v>
      </c>
      <c r="I27" s="9" t="s">
        <v>31</v>
      </c>
      <c r="J27" s="9" t="s">
        <v>32</v>
      </c>
      <c r="K27" s="9" t="s">
        <v>33</v>
      </c>
      <c r="M27" s="9" t="s">
        <v>34</v>
      </c>
      <c r="N27" s="9" t="s">
        <v>35</v>
      </c>
      <c r="O27" s="9" t="s">
        <v>27</v>
      </c>
      <c r="P27" s="9" t="s">
        <v>31</v>
      </c>
      <c r="Q27" s="9" t="s">
        <v>36</v>
      </c>
    </row>
    <row r="28" spans="2:19" ht="18.75" customHeight="1" x14ac:dyDescent="0.25">
      <c r="B28" s="18" t="s">
        <v>37</v>
      </c>
      <c r="C28" s="12">
        <f>COUNTIFS(Data!$E$7:$E$206,"&gt;="&amp;DATE($P$2,1,1),Data!$E$7:$E$206,"&lt;"&amp;DATE($P$2,2,1),Data!$T$7:$T$206,"")</f>
        <v>4</v>
      </c>
      <c r="D28" s="12">
        <f ca="1">COUNTIFS(Data!$E$7:$E$206,"&gt;="&amp;DATE($P$2,1,1),Data!$E$7:$E$206,"&lt;"&amp;DATE($P$2,2,1),Data!$T$7:$T$206,"",Data!$U$7:$U$206,"Đã hoàn thành")</f>
        <v>4</v>
      </c>
      <c r="E28" s="19">
        <f>SUMIFS(Data!$I$7:$I$206,Data!$E$7:$E$206,"&gt;="&amp;DATE($P$2,1,1),Data!$E$7:$E$206,"&lt;"&amp;DATE($P$2,2,1),Data!$T$7:$T$206,"")</f>
        <v>40</v>
      </c>
      <c r="F28" s="19">
        <f>SUMIFS(Data!$O$7:$O$206,Data!$E$7:$E$206,"&gt;="&amp;DATE($P$2,1,1),Data!$E$7:$E$206,"&lt;"&amp;DATE($P$2,2,1),Data!$T$7:$T$206,"")</f>
        <v>135</v>
      </c>
      <c r="G28" s="19">
        <f>SUMIFS(Data!$P$7:$P$206,Data!$E$7:$E$206,"&gt;="&amp;DATE($P$2,1,1),Data!$E$7:$E$206,"&lt;"&amp;DATE($P$2,2,1),Data!$T$7:$T$206,"")</f>
        <v>120</v>
      </c>
      <c r="H28" s="20">
        <f ca="1">IFERROR(SUMIFS(Data!$P$7:$P$206,Data!$E$7:$E$206,"&gt;="&amp;DATE($P$2,1,1),Data!$E$7:$E$206,"&lt;"&amp;DATE($P$2,2,1),Data!$T$7:$T$206,"",Data!$U$7:$U$206,"Đã hoàn thành")/SUMIFS(Data!$O$7:$O$206,Data!$E$7:$E$206,"&gt;="&amp;DATE($P$2,1,1),Data!$E$7:$E$206,"&lt;"&amp;DATE($P$2,2,1),Data!$T$7:$T$206,"",Data!$U$7:$U$206,"Đã hoàn thành"),"")</f>
        <v>0.936363636363636</v>
      </c>
      <c r="I28" s="21">
        <f>SUMIFS(Data!$R$7:$R$206,Data!$E$7:$E$206,"&gt;="&amp;DATE($P$2,1,1),Data!$E$7:$E$206,"&lt;"&amp;DATE($P$2,2,1),Data!$T$7:$T$206,"")</f>
        <v>23000000</v>
      </c>
      <c r="J28" s="21">
        <f>SUM($I$28:I28)</f>
        <v>23000000</v>
      </c>
      <c r="K28" s="21">
        <f>IFERROR(INDEX('Cài đặt'!$C$20:$C$25,MATCH($P$2,'Cài đặt'!$B$20:$B$25,0)),0)*1/12</f>
        <v>29166666.6666667</v>
      </c>
      <c r="M28" s="18" t="s">
        <v>38</v>
      </c>
      <c r="N28" s="12">
        <f>COUNTIFS(Data!$W$7:$W$206,$P$2,Data!$T$7:$T$206,"",Data!$K$7:$K$206,$M28)</f>
        <v>20</v>
      </c>
      <c r="O28" s="19">
        <f>SUMIFS(Data!$I$7:$I$206,Data!$W$7:$W$206,$P$2,Data!$T$7:$T$206,"",Data!$K$7:$K$206,$M28)</f>
        <v>120</v>
      </c>
      <c r="P28" s="21">
        <f>SUMIFS(Data!$R$7:$R$206,Data!$W$7:$W$206,$P$2,Data!$T$7:$T$206,"",Data!$K$7:$K$206,$M28)</f>
        <v>5000000</v>
      </c>
      <c r="Q28" s="20">
        <f>IFERROR(P28/SUM($P$28:$P$29),0)</f>
        <v>0.0164473684210526</v>
      </c>
    </row>
    <row r="29" spans="2:19" ht="18.75" customHeight="1" x14ac:dyDescent="0.25">
      <c r="B29" s="22" t="s">
        <v>39</v>
      </c>
      <c r="C29" s="16">
        <f>COUNTIFS(Data!$E$7:$E$206,"&gt;="&amp;DATE($P$2,2,1),Data!$E$7:$E$206,"&lt;"&amp;DATE($P$2,3,1),Data!$T$7:$T$206,"")</f>
        <v>3</v>
      </c>
      <c r="D29" s="16">
        <f ca="1">COUNTIFS(Data!$E$7:$E$206,"&gt;="&amp;DATE($P$2,2,1),Data!$E$7:$E$206,"&lt;"&amp;DATE($P$2,3,1),Data!$T$7:$T$206,"",Data!$U$7:$U$206,"Đã hoàn thành")</f>
        <v>3</v>
      </c>
      <c r="E29" s="23">
        <f>SUMIFS(Data!$I$7:$I$206,Data!$E$7:$E$206,"&gt;="&amp;DATE($P$2,2,1),Data!$E$7:$E$206,"&lt;"&amp;DATE($P$2,3,1),Data!$T$7:$T$206,"")</f>
        <v>36</v>
      </c>
      <c r="F29" s="23">
        <f>SUMIFS(Data!$O$7:$O$206,Data!$E$7:$E$206,"&gt;="&amp;DATE($P$2,2,1),Data!$E$7:$E$206,"&lt;"&amp;DATE($P$2,3,1),Data!$T$7:$T$206,"")</f>
        <v>70</v>
      </c>
      <c r="G29" s="23">
        <f>SUMIFS(Data!$P$7:$P$206,Data!$E$7:$E$206,"&gt;="&amp;DATE($P$2,2,1),Data!$E$7:$E$206,"&lt;"&amp;DATE($P$2,3,1),Data!$T$7:$T$206,"")</f>
        <v>61</v>
      </c>
      <c r="H29" s="24">
        <f ca="1">IFERROR(SUMIFS(Data!$P$7:$P$206,Data!$E$7:$E$206,"&gt;="&amp;DATE($P$2,2,1),Data!$E$7:$E$206,"&lt;"&amp;DATE($P$2,3,1),Data!$T$7:$T$206,"",Data!$U$7:$U$206,"Đã hoàn thành")/SUMIFS(Data!$O$7:$O$206,Data!$E$7:$E$206,"&gt;="&amp;DATE($P$2,2,1),Data!$E$7:$E$206,"&lt;"&amp;DATE($P$2,3,1),Data!$T$7:$T$206,"",Data!$U$7:$U$206,"Đã hoàn thành"),"")</f>
        <v>0.938461538461539</v>
      </c>
      <c r="I29" s="25">
        <f>SUMIFS(Data!$R$7:$R$206,Data!$E$7:$E$206,"&gt;="&amp;DATE($P$2,2,1),Data!$E$7:$E$206,"&lt;"&amp;DATE($P$2,3,1),Data!$T$7:$T$206,"")</f>
        <v>23000000</v>
      </c>
      <c r="J29" s="25">
        <f>SUM($I$28:I29)</f>
        <v>46000000</v>
      </c>
      <c r="K29" s="25">
        <f>IFERROR(INDEX('Cài đặt'!$C$20:$C$25,MATCH($P$2,'Cài đặt'!$B$20:$B$25,0)),0)*2/12</f>
        <v>58333333.3333333</v>
      </c>
      <c r="M29" s="18" t="s">
        <v>40</v>
      </c>
      <c r="N29" s="12">
        <f>COUNTIFS(Data!$W$7:$W$206,$P$2,Data!$T$7:$T$206,"",Data!$K$7:$K$206,$M29)</f>
        <v>16</v>
      </c>
      <c r="O29" s="19">
        <f>SUMIFS(Data!$I$7:$I$206,Data!$W$7:$W$206,$P$2,Data!$T$7:$T$206,"",Data!$K$7:$K$206,$M29)</f>
        <v>168</v>
      </c>
      <c r="P29" s="21">
        <f>SUMIFS(Data!$R$7:$R$206,Data!$W$7:$W$206,$P$2,Data!$T$7:$T$206,"",Data!$K$7:$K$206,$M29)</f>
        <v>299000000</v>
      </c>
      <c r="Q29" s="20">
        <f>IFERROR(P29/SUM($P$28:$P$29),0)</f>
        <v>0.983552631578947</v>
      </c>
    </row>
    <row r="30" spans="2:19" ht="18.75" customHeight="1" x14ac:dyDescent="0.25">
      <c r="B30" s="18" t="s">
        <v>41</v>
      </c>
      <c r="C30" s="12">
        <f>COUNTIFS(Data!$E$7:$E$206,"&gt;="&amp;DATE($P$2,3,1),Data!$E$7:$E$206,"&lt;"&amp;DATE($P$2,4,1),Data!$T$7:$T$206,"")</f>
        <v>2</v>
      </c>
      <c r="D30" s="12">
        <f ca="1">COUNTIFS(Data!$E$7:$E$206,"&gt;="&amp;DATE($P$2,3,1),Data!$E$7:$E$206,"&lt;"&amp;DATE($P$2,4,1),Data!$T$7:$T$206,"",Data!$U$7:$U$206,"Đã hoàn thành")</f>
        <v>2</v>
      </c>
      <c r="E30" s="19">
        <f>SUMIFS(Data!$I$7:$I$206,Data!$E$7:$E$206,"&gt;="&amp;DATE($P$2,3,1),Data!$E$7:$E$206,"&lt;"&amp;DATE($P$2,4,1),Data!$T$7:$T$206,"")</f>
        <v>12</v>
      </c>
      <c r="F30" s="19">
        <f>SUMIFS(Data!$O$7:$O$206,Data!$E$7:$E$206,"&gt;="&amp;DATE($P$2,3,1),Data!$E$7:$E$206,"&lt;"&amp;DATE($P$2,4,1),Data!$T$7:$T$206,"")</f>
        <v>55</v>
      </c>
      <c r="G30" s="19">
        <f>SUMIFS(Data!$P$7:$P$206,Data!$E$7:$E$206,"&gt;="&amp;DATE($P$2,3,1),Data!$E$7:$E$206,"&lt;"&amp;DATE($P$2,4,1),Data!$T$7:$T$206,"")</f>
        <v>44</v>
      </c>
      <c r="H30" s="20">
        <f ca="1">IFERROR(SUMIFS(Data!$P$7:$P$206,Data!$E$7:$E$206,"&gt;="&amp;DATE($P$2,3,1),Data!$E$7:$E$206,"&lt;"&amp;DATE($P$2,4,1),Data!$T$7:$T$206,"",Data!$U$7:$U$206,"Đã hoàn thành")/SUMIFS(Data!$O$7:$O$206,Data!$E$7:$E$206,"&gt;="&amp;DATE($P$2,3,1),Data!$E$7:$E$206,"&lt;"&amp;DATE($P$2,4,1),Data!$T$7:$T$206,"",Data!$U$7:$U$206,"Đã hoàn thành"),"")</f>
        <v>0.925</v>
      </c>
      <c r="I30" s="21">
        <f>SUMIFS(Data!$R$7:$R$206,Data!$E$7:$E$206,"&gt;="&amp;DATE($P$2,3,1),Data!$E$7:$E$206,"&lt;"&amp;DATE($P$2,4,1),Data!$T$7:$T$206,"")</f>
        <v>20000000</v>
      </c>
      <c r="J30" s="21">
        <f>SUM($I$28:I30)</f>
        <v>66000000</v>
      </c>
      <c r="K30" s="21">
        <f>IFERROR(INDEX('Cài đặt'!$C$20:$C$25,MATCH($P$2,'Cài đặt'!$B$20:$B$25,0)),0)*3/12</f>
        <v>87500000</v>
      </c>
    </row>
    <row r="31" spans="2:19" ht="18.75" customHeight="1" x14ac:dyDescent="0.25">
      <c r="B31" s="22" t="s">
        <v>42</v>
      </c>
      <c r="C31" s="16">
        <f>COUNTIFS(Data!$E$7:$E$206,"&gt;="&amp;DATE($P$2,4,1),Data!$E$7:$E$206,"&lt;"&amp;DATE($P$2,5,1),Data!$T$7:$T$206,"")</f>
        <v>3</v>
      </c>
      <c r="D31" s="16">
        <f ca="1">COUNTIFS(Data!$E$7:$E$206,"&gt;="&amp;DATE($P$2,4,1),Data!$E$7:$E$206,"&lt;"&amp;DATE($P$2,5,1),Data!$T$7:$T$206,"",Data!$U$7:$U$206,"Đã hoàn thành")</f>
        <v>3</v>
      </c>
      <c r="E31" s="23">
        <f>SUMIFS(Data!$I$7:$I$206,Data!$E$7:$E$206,"&gt;="&amp;DATE($P$2,4,1),Data!$E$7:$E$206,"&lt;"&amp;DATE($P$2,5,1),Data!$T$7:$T$206,"")</f>
        <v>20</v>
      </c>
      <c r="F31" s="23">
        <f>SUMIFS(Data!$O$7:$O$206,Data!$E$7:$E$206,"&gt;="&amp;DATE($P$2,4,1),Data!$E$7:$E$206,"&lt;"&amp;DATE($P$2,5,1),Data!$T$7:$T$206,"")</f>
        <v>180</v>
      </c>
      <c r="G31" s="23">
        <f>SUMIFS(Data!$P$7:$P$206,Data!$E$7:$E$206,"&gt;="&amp;DATE($P$2,4,1),Data!$E$7:$E$206,"&lt;"&amp;DATE($P$2,5,1),Data!$T$7:$T$206,"")</f>
        <v>165</v>
      </c>
      <c r="H31" s="24">
        <f ca="1">IFERROR(SUMIFS(Data!$P$7:$P$206,Data!$E$7:$E$206,"&gt;="&amp;DATE($P$2,4,1),Data!$E$7:$E$206,"&lt;"&amp;DATE($P$2,5,1),Data!$T$7:$T$206,"",Data!$U$7:$U$206,"Đã hoàn thành")/SUMIFS(Data!$O$7:$O$206,Data!$E$7:$E$206,"&gt;="&amp;DATE($P$2,4,1),Data!$E$7:$E$206,"&lt;"&amp;DATE($P$2,5,1),Data!$T$7:$T$206,"",Data!$U$7:$U$206,"Đã hoàn thành"),"")</f>
        <v>0.935483870967742</v>
      </c>
      <c r="I31" s="25">
        <f>SUMIFS(Data!$R$7:$R$206,Data!$E$7:$E$206,"&gt;="&amp;DATE($P$2,4,1),Data!$E$7:$E$206,"&lt;"&amp;DATE($P$2,5,1),Data!$T$7:$T$206,"")</f>
        <v>56000000</v>
      </c>
      <c r="J31" s="25">
        <f>SUM($I$28:I31)</f>
        <v>122000000</v>
      </c>
      <c r="K31" s="25">
        <f>IFERROR(INDEX('Cài đặt'!$C$20:$C$25,MATCH($P$2,'Cài đặt'!$B$20:$B$25,0)),0)*4/12</f>
        <v>116666666.666667</v>
      </c>
    </row>
    <row r="32" spans="2:19" ht="18.75" customHeight="1" x14ac:dyDescent="0.25">
      <c r="B32" s="18" t="s">
        <v>43</v>
      </c>
      <c r="C32" s="12">
        <f>COUNTIFS(Data!$E$7:$E$206,"&gt;="&amp;DATE($P$2,5,1),Data!$E$7:$E$206,"&lt;"&amp;DATE($P$2,6,1),Data!$T$7:$T$206,"")</f>
        <v>3</v>
      </c>
      <c r="D32" s="12">
        <f ca="1">COUNTIFS(Data!$E$7:$E$206,"&gt;="&amp;DATE($P$2,5,1),Data!$E$7:$E$206,"&lt;"&amp;DATE($P$2,6,1),Data!$T$7:$T$206,"",Data!$U$7:$U$206,"Đã hoàn thành")</f>
        <v>3</v>
      </c>
      <c r="E32" s="19">
        <f>SUMIFS(Data!$I$7:$I$206,Data!$E$7:$E$206,"&gt;="&amp;DATE($P$2,5,1),Data!$E$7:$E$206,"&lt;"&amp;DATE($P$2,6,1),Data!$T$7:$T$206,"")</f>
        <v>12</v>
      </c>
      <c r="F32" s="19">
        <f>SUMIFS(Data!$O$7:$O$206,Data!$E$7:$E$206,"&gt;="&amp;DATE($P$2,5,1),Data!$E$7:$E$206,"&lt;"&amp;DATE($P$2,6,1),Data!$T$7:$T$206,"")</f>
        <v>140</v>
      </c>
      <c r="G32" s="19">
        <f>SUMIFS(Data!$P$7:$P$206,Data!$E$7:$E$206,"&gt;="&amp;DATE($P$2,5,1),Data!$E$7:$E$206,"&lt;"&amp;DATE($P$2,6,1),Data!$T$7:$T$206,"")</f>
        <v>129</v>
      </c>
      <c r="H32" s="20">
        <f ca="1">IFERROR(SUMIFS(Data!$P$7:$P$206,Data!$E$7:$E$206,"&gt;="&amp;DATE($P$2,5,1),Data!$E$7:$E$206,"&lt;"&amp;DATE($P$2,6,1),Data!$T$7:$T$206,"",Data!$U$7:$U$206,"Đã hoàn thành")/SUMIFS(Data!$O$7:$O$206,Data!$E$7:$E$206,"&gt;="&amp;DATE($P$2,5,1),Data!$E$7:$E$206,"&lt;"&amp;DATE($P$2,6,1),Data!$T$7:$T$206,"",Data!$U$7:$U$206,"Đã hoàn thành"),"")</f>
        <v>0.89873417721519</v>
      </c>
      <c r="I32" s="21">
        <f>SUMIFS(Data!$R$7:$R$206,Data!$E$7:$E$206,"&gt;="&amp;DATE($P$2,5,1),Data!$E$7:$E$206,"&lt;"&amp;DATE($P$2,6,1),Data!$T$7:$T$206,"")</f>
        <v>8000000</v>
      </c>
      <c r="J32" s="21">
        <f>SUM($I$28:I32)</f>
        <v>130000000</v>
      </c>
      <c r="K32" s="21">
        <f>IFERROR(INDEX('Cài đặt'!$C$20:$C$25,MATCH($P$2,'Cài đặt'!$B$20:$B$25,0)),0)*5/12</f>
        <v>145833333.333333</v>
      </c>
      <c r="M32" s="7" t="s">
        <v>44</v>
      </c>
      <c r="N32" s="8"/>
      <c r="O32" s="8"/>
      <c r="P32" s="8"/>
      <c r="Q32" s="8"/>
    </row>
    <row r="33" spans="2:17" ht="24" customHeight="1" x14ac:dyDescent="0.25">
      <c r="B33" s="22" t="s">
        <v>45</v>
      </c>
      <c r="C33" s="16">
        <f>COUNTIFS(Data!$E$7:$E$206,"&gt;="&amp;DATE($P$2,6,1),Data!$E$7:$E$206,"&lt;"&amp;DATE($P$2,7,1),Data!$T$7:$T$206,"")</f>
        <v>3</v>
      </c>
      <c r="D33" s="16">
        <f ca="1">COUNTIFS(Data!$E$7:$E$206,"&gt;="&amp;DATE($P$2,6,1),Data!$E$7:$E$206,"&lt;"&amp;DATE($P$2,7,1),Data!$T$7:$T$206,"",Data!$U$7:$U$206,"Đã hoàn thành")</f>
        <v>3</v>
      </c>
      <c r="E33" s="23">
        <f>SUMIFS(Data!$I$7:$I$206,Data!$E$7:$E$206,"&gt;="&amp;DATE($P$2,6,1),Data!$E$7:$E$206,"&lt;"&amp;DATE($P$2,7,1),Data!$T$7:$T$206,"")</f>
        <v>36</v>
      </c>
      <c r="F33" s="23">
        <f>SUMIFS(Data!$O$7:$O$206,Data!$E$7:$E$206,"&gt;="&amp;DATE($P$2,6,1),Data!$E$7:$E$206,"&lt;"&amp;DATE($P$2,7,1),Data!$T$7:$T$206,"")</f>
        <v>90</v>
      </c>
      <c r="G33" s="23">
        <f>SUMIFS(Data!$P$7:$P$206,Data!$E$7:$E$206,"&gt;="&amp;DATE($P$2,6,1),Data!$E$7:$E$206,"&lt;"&amp;DATE($P$2,7,1),Data!$T$7:$T$206,"")</f>
        <v>79</v>
      </c>
      <c r="H33" s="24">
        <f ca="1">IFERROR(SUMIFS(Data!$P$7:$P$206,Data!$E$7:$E$206,"&gt;="&amp;DATE($P$2,6,1),Data!$E$7:$E$206,"&lt;"&amp;DATE($P$2,7,1),Data!$T$7:$T$206,"",Data!$U$7:$U$206,"Đã hoàn thành")/SUMIFS(Data!$O$7:$O$206,Data!$E$7:$E$206,"&gt;="&amp;DATE($P$2,6,1),Data!$E$7:$E$206,"&lt;"&amp;DATE($P$2,7,1),Data!$T$7:$T$206,"",Data!$U$7:$U$206,"Đã hoàn thành"),"")</f>
        <v>0.913793103448276</v>
      </c>
      <c r="I33" s="25">
        <f>SUMIFS(Data!$R$7:$R$206,Data!$E$7:$E$206,"&gt;="&amp;DATE($P$2,6,1),Data!$E$7:$E$206,"&lt;"&amp;DATE($P$2,7,1),Data!$T$7:$T$206,"")</f>
        <v>20000000</v>
      </c>
      <c r="J33" s="25">
        <f>SUM($I$28:I33)</f>
        <v>150000000</v>
      </c>
      <c r="K33" s="25">
        <f>IFERROR(INDEX('Cài đặt'!$C$20:$C$25,MATCH($P$2,'Cài đặt'!$B$20:$B$25,0)),0)*6/12</f>
        <v>175000000</v>
      </c>
      <c r="M33" s="9" t="s">
        <v>19</v>
      </c>
      <c r="N33" s="9" t="s">
        <v>35</v>
      </c>
      <c r="O33" s="9" t="s">
        <v>46</v>
      </c>
      <c r="P33" s="9" t="s">
        <v>30</v>
      </c>
      <c r="Q33" s="9" t="s">
        <v>47</v>
      </c>
    </row>
    <row r="34" spans="2:17" ht="18.75" customHeight="1" x14ac:dyDescent="0.25">
      <c r="B34" s="18" t="s">
        <v>48</v>
      </c>
      <c r="C34" s="12">
        <f>COUNTIFS(Data!$E$7:$E$206,"&gt;="&amp;DATE($P$2,7,1),Data!$E$7:$E$206,"&lt;"&amp;DATE($P$2,8,1),Data!$T$7:$T$206,"")</f>
        <v>4</v>
      </c>
      <c r="D34" s="12">
        <f ca="1">COUNTIFS(Data!$E$7:$E$206,"&gt;="&amp;DATE($P$2,7,1),Data!$E$7:$E$206,"&lt;"&amp;DATE($P$2,8,1),Data!$T$7:$T$206,"",Data!$U$7:$U$206,"Đã hoàn thành")</f>
        <v>4</v>
      </c>
      <c r="E34" s="19">
        <f>SUMIFS(Data!$I$7:$I$206,Data!$E$7:$E$206,"&gt;="&amp;DATE($P$2,7,1),Data!$E$7:$E$206,"&lt;"&amp;DATE($P$2,8,1),Data!$T$7:$T$206,"")</f>
        <v>24</v>
      </c>
      <c r="F34" s="19">
        <f>SUMIFS(Data!$O$7:$O$206,Data!$E$7:$E$206,"&gt;="&amp;DATE($P$2,7,1),Data!$E$7:$E$206,"&lt;"&amp;DATE($P$2,8,1),Data!$T$7:$T$206,"")</f>
        <v>125</v>
      </c>
      <c r="G34" s="19">
        <f>SUMIFS(Data!$P$7:$P$206,Data!$E$7:$E$206,"&gt;="&amp;DATE($P$2,7,1),Data!$E$7:$E$206,"&lt;"&amp;DATE($P$2,8,1),Data!$T$7:$T$206,"")</f>
        <v>112</v>
      </c>
      <c r="H34" s="20">
        <f ca="1">IFERROR(SUMIFS(Data!$P$7:$P$206,Data!$E$7:$E$206,"&gt;="&amp;DATE($P$2,7,1),Data!$E$7:$E$206,"&lt;"&amp;DATE($P$2,8,1),Data!$T$7:$T$206,"",Data!$U$7:$U$206,"Đã hoàn thành")/SUMIFS(Data!$O$7:$O$206,Data!$E$7:$E$206,"&gt;="&amp;DATE($P$2,7,1),Data!$E$7:$E$206,"&lt;"&amp;DATE($P$2,8,1),Data!$T$7:$T$206,"",Data!$U$7:$U$206,"Đã hoàn thành"),"")</f>
        <v>0.907692307692308</v>
      </c>
      <c r="I34" s="21">
        <f>SUMIFS(Data!$R$7:$R$206,Data!$E$7:$E$206,"&gt;="&amp;DATE($P$2,7,1),Data!$E$7:$E$206,"&lt;"&amp;DATE($P$2,8,1),Data!$T$7:$T$206,"")</f>
        <v>28000000</v>
      </c>
      <c r="J34" s="21">
        <f>SUM($I$28:I34)</f>
        <v>178000000</v>
      </c>
      <c r="K34" s="21">
        <f>IFERROR(INDEX('Cài đặt'!$C$20:$C$25,MATCH($P$2,'Cài đặt'!$B$20:$B$25,0)),0)*7/12</f>
        <v>204166666.666667</v>
      </c>
      <c r="M34" s="18" t="s">
        <v>49</v>
      </c>
      <c r="N34" s="12">
        <f>COUNTIFS(Data!$W$7:$W$206,$P$2,Data!$T$7:$T$206,"",Data!$L$7:$L$206,$M34)</f>
        <v>31</v>
      </c>
      <c r="O34" s="19">
        <f>SUMIFS(Data!$P$7:$P$206,Data!$W$7:$W$206,$P$2,Data!$T$7:$T$206,"",Data!$L$7:$L$206,$M34)</f>
        <v>619</v>
      </c>
      <c r="P34" s="20">
        <f ca="1">IFERROR(SUMIFS(Data!$P$7:$P$206,Data!$W$7:$W$206,$P$2,Data!$T$7:$T$206,"",Data!$L$7:$L$206,$M34,Data!$U$7:$U$206,"Đã hoàn thành")/SUMIFS(Data!$O$7:$O$206,Data!$W$7:$W$206,$P$2,Data!$T$7:$T$206,"",Data!$L$7:$L$206,$M34,Data!$U$7:$U$206,"Đã hoàn thành"),"-")</f>
        <v>0.921130952380952</v>
      </c>
      <c r="Q34" s="26">
        <f>IFERROR(AVERAGEIFS(Data!$S$7:$S$206,Data!$W$7:$W$206,$P$2,Data!$T$7:$T$206,"",Data!$L$7:$L$206,$M34),"-")</f>
        <v>4.312</v>
      </c>
    </row>
    <row r="35" spans="2:17" ht="18.75" customHeight="1" x14ac:dyDescent="0.25">
      <c r="B35" s="22" t="s">
        <v>50</v>
      </c>
      <c r="C35" s="16">
        <f>COUNTIFS(Data!$E$7:$E$206,"&gt;="&amp;DATE($P$2,8,1),Data!$E$7:$E$206,"&lt;"&amp;DATE($P$2,9,1),Data!$T$7:$T$206,"")</f>
        <v>3</v>
      </c>
      <c r="D35" s="16">
        <f ca="1">COUNTIFS(Data!$E$7:$E$206,"&gt;="&amp;DATE($P$2,8,1),Data!$E$7:$E$206,"&lt;"&amp;DATE($P$2,9,1),Data!$T$7:$T$206,"",Data!$U$7:$U$206,"Đã hoàn thành")</f>
        <v>3</v>
      </c>
      <c r="E35" s="23">
        <f>SUMIFS(Data!$I$7:$I$206,Data!$E$7:$E$206,"&gt;="&amp;DATE($P$2,8,1),Data!$E$7:$E$206,"&lt;"&amp;DATE($P$2,9,1),Data!$T$7:$T$206,"")</f>
        <v>24</v>
      </c>
      <c r="F35" s="23">
        <f>SUMIFS(Data!$O$7:$O$206,Data!$E$7:$E$206,"&gt;="&amp;DATE($P$2,8,1),Data!$E$7:$E$206,"&lt;"&amp;DATE($P$2,9,1),Data!$T$7:$T$206,"")</f>
        <v>135</v>
      </c>
      <c r="G35" s="23">
        <f>SUMIFS(Data!$P$7:$P$206,Data!$E$7:$E$206,"&gt;="&amp;DATE($P$2,8,1),Data!$E$7:$E$206,"&lt;"&amp;DATE($P$2,9,1),Data!$T$7:$T$206,"")</f>
        <v>113</v>
      </c>
      <c r="H35" s="24">
        <f ca="1">IFERROR(SUMIFS(Data!$P$7:$P$206,Data!$E$7:$E$206,"&gt;="&amp;DATE($P$2,8,1),Data!$E$7:$E$206,"&lt;"&amp;DATE($P$2,9,1),Data!$T$7:$T$206,"",Data!$U$7:$U$206,"Đã hoàn thành")/SUMIFS(Data!$O$7:$O$206,Data!$E$7:$E$206,"&gt;="&amp;DATE($P$2,8,1),Data!$E$7:$E$206,"&lt;"&amp;DATE($P$2,9,1),Data!$T$7:$T$206,"",Data!$U$7:$U$206,"Đã hoàn thành"),"")</f>
        <v>0.911764705882353</v>
      </c>
      <c r="I35" s="25">
        <f>SUMIFS(Data!$R$7:$R$206,Data!$E$7:$E$206,"&gt;="&amp;DATE($P$2,8,1),Data!$E$7:$E$206,"&lt;"&amp;DATE($P$2,9,1),Data!$T$7:$T$206,"")</f>
        <v>15000000</v>
      </c>
      <c r="J35" s="25">
        <f>SUM($I$28:I35)</f>
        <v>193000000</v>
      </c>
      <c r="K35" s="25">
        <f>IFERROR(INDEX('Cài đặt'!$C$20:$C$25,MATCH($P$2,'Cài đặt'!$B$20:$B$25,0)),0)*8/12</f>
        <v>233333333.333333</v>
      </c>
      <c r="M35" s="18" t="s">
        <v>51</v>
      </c>
      <c r="N35" s="12">
        <f>COUNTIFS(Data!$W$7:$W$206,$P$2,Data!$T$7:$T$206,"",Data!$L$7:$L$206,$M35)</f>
        <v>5</v>
      </c>
      <c r="O35" s="19">
        <f>SUMIFS(Data!$P$7:$P$206,Data!$W$7:$W$206,$P$2,Data!$T$7:$T$206,"",Data!$L$7:$L$206,$M35)</f>
        <v>103</v>
      </c>
      <c r="P35" s="20">
        <f ca="1">IFERROR(SUMIFS(Data!$P$7:$P$206,Data!$W$7:$W$206,$P$2,Data!$T$7:$T$206,"",Data!$L$7:$L$206,$M35,Data!$U$7:$U$206,"Đã hoàn thành")/SUMIFS(Data!$O$7:$O$206,Data!$W$7:$W$206,$P$2,Data!$T$7:$T$206,"",Data!$L$7:$L$206,$M35,Data!$U$7:$U$206,"Đã hoàn thành"),"-")</f>
        <v>0.903508771929825</v>
      </c>
      <c r="Q35" s="26">
        <f>IFERROR(AVERAGEIFS(Data!$S$7:$S$206,Data!$W$7:$W$206,$P$2,Data!$T$7:$T$206,"",Data!$L$7:$L$206,$M35),"-")</f>
        <v>4.25</v>
      </c>
    </row>
    <row r="36" spans="2:17" ht="18.75" customHeight="1" x14ac:dyDescent="0.25">
      <c r="B36" s="18" t="s">
        <v>52</v>
      </c>
      <c r="C36" s="12">
        <f>COUNTIFS(Data!$E$7:$E$206,"&gt;="&amp;DATE($P$2,9,1),Data!$E$7:$E$206,"&lt;"&amp;DATE($P$2,10,1),Data!$T$7:$T$206,"")</f>
        <v>3</v>
      </c>
      <c r="D36" s="12">
        <f ca="1">COUNTIFS(Data!$E$7:$E$206,"&gt;="&amp;DATE($P$2,9,1),Data!$E$7:$E$206,"&lt;"&amp;DATE($P$2,10,1),Data!$T$7:$T$206,"",Data!$U$7:$U$206,"Đã hoàn thành")</f>
        <v>3</v>
      </c>
      <c r="E36" s="19">
        <f>SUMIFS(Data!$I$7:$I$206,Data!$E$7:$E$206,"&gt;="&amp;DATE($P$2,9,1),Data!$E$7:$E$206,"&lt;"&amp;DATE($P$2,10,1),Data!$T$7:$T$206,"")</f>
        <v>28</v>
      </c>
      <c r="F36" s="19">
        <f>SUMIFS(Data!$O$7:$O$206,Data!$E$7:$E$206,"&gt;="&amp;DATE($P$2,9,1),Data!$E$7:$E$206,"&lt;"&amp;DATE($P$2,10,1),Data!$T$7:$T$206,"")</f>
        <v>140</v>
      </c>
      <c r="G36" s="19">
        <f>SUMIFS(Data!$P$7:$P$206,Data!$E$7:$E$206,"&gt;="&amp;DATE($P$2,9,1),Data!$E$7:$E$206,"&lt;"&amp;DATE($P$2,10,1),Data!$T$7:$T$206,"")</f>
        <v>134</v>
      </c>
      <c r="H36" s="20">
        <f ca="1">IFERROR(SUMIFS(Data!$P$7:$P$206,Data!$E$7:$E$206,"&gt;="&amp;DATE($P$2,9,1),Data!$E$7:$E$206,"&lt;"&amp;DATE($P$2,10,1),Data!$T$7:$T$206,"",Data!$U$7:$U$206,"Đã hoàn thành")/SUMIFS(Data!$O$7:$O$206,Data!$E$7:$E$206,"&gt;="&amp;DATE($P$2,9,1),Data!$E$7:$E$206,"&lt;"&amp;DATE($P$2,10,1),Data!$T$7:$T$206,"",Data!$U$7:$U$206,"Đã hoàn thành"),"")</f>
        <v>0.911111111111111</v>
      </c>
      <c r="I36" s="21">
        <f>SUMIFS(Data!$R$7:$R$206,Data!$E$7:$E$206,"&gt;="&amp;DATE($P$2,9,1),Data!$E$7:$E$206,"&lt;"&amp;DATE($P$2,10,1),Data!$T$7:$T$206,"")</f>
        <v>60000000</v>
      </c>
      <c r="J36" s="21">
        <f>SUM($I$28:I36)</f>
        <v>253000000</v>
      </c>
      <c r="K36" s="21">
        <f>IFERROR(INDEX('Cài đặt'!$C$20:$C$25,MATCH($P$2,'Cài đặt'!$B$20:$B$25,0)),0)*9/12</f>
        <v>262500000</v>
      </c>
      <c r="M36" s="18" t="s">
        <v>53</v>
      </c>
      <c r="N36" s="12">
        <f>COUNTIFS(Data!$W$7:$W$206,$P$2,Data!$T$7:$T$206,"",Data!$L$7:$L$206,$M36)</f>
        <v>0</v>
      </c>
      <c r="O36" s="19">
        <f>SUMIFS(Data!$P$7:$P$206,Data!$W$7:$W$206,$P$2,Data!$T$7:$T$206,"",Data!$L$7:$L$206,$M36)</f>
        <v>0</v>
      </c>
      <c r="P36" s="20" t="str">
        <f ca="1">IFERROR(SUMIFS(Data!$P$7:$P$206,Data!$W$7:$W$206,$P$2,Data!$T$7:$T$206,"",Data!$L$7:$L$206,$M36,Data!$U$7:$U$206,"Đã hoàn thành")/SUMIFS(Data!$O$7:$O$206,Data!$W$7:$W$206,$P$2,Data!$T$7:$T$206,"",Data!$L$7:$L$206,$M36,Data!$U$7:$U$206,"Đã hoàn thành"),"-")</f>
        <v>-</v>
      </c>
      <c r="Q36" s="26" t="str">
        <f>IFERROR(AVERAGEIFS(Data!$S$7:$S$206,Data!$W$7:$W$206,$P$2,Data!$T$7:$T$206,"",Data!$L$7:$L$206,$M36),"-")</f>
        <v>-</v>
      </c>
    </row>
    <row r="37" spans="2:17" ht="18.75" customHeight="1" x14ac:dyDescent="0.25">
      <c r="B37" s="22" t="s">
        <v>54</v>
      </c>
      <c r="C37" s="16">
        <f>COUNTIFS(Data!$E$7:$E$206,"&gt;="&amp;DATE($P$2,10,1),Data!$E$7:$E$206,"&lt;"&amp;DATE($P$2,11,1),Data!$T$7:$T$206,"")</f>
        <v>4</v>
      </c>
      <c r="D37" s="16">
        <f ca="1">COUNTIFS(Data!$E$7:$E$206,"&gt;="&amp;DATE($P$2,10,1),Data!$E$7:$E$206,"&lt;"&amp;DATE($P$2,11,1),Data!$T$7:$T$206,"",Data!$U$7:$U$206,"Đã hoàn thành")</f>
        <v>1</v>
      </c>
      <c r="E37" s="23">
        <f>SUMIFS(Data!$I$7:$I$206,Data!$E$7:$E$206,"&gt;="&amp;DATE($P$2,10,1),Data!$E$7:$E$206,"&lt;"&amp;DATE($P$2,11,1),Data!$T$7:$T$206,"")</f>
        <v>24</v>
      </c>
      <c r="F37" s="23">
        <f>SUMIFS(Data!$O$7:$O$206,Data!$E$7:$E$206,"&gt;="&amp;DATE($P$2,10,1),Data!$E$7:$E$206,"&lt;"&amp;DATE($P$2,11,1),Data!$T$7:$T$206,"")</f>
        <v>145</v>
      </c>
      <c r="G37" s="23">
        <f>SUMIFS(Data!$P$7:$P$206,Data!$E$7:$E$206,"&gt;="&amp;DATE($P$2,10,1),Data!$E$7:$E$206,"&lt;"&amp;DATE($P$2,11,1),Data!$T$7:$T$206,"")</f>
        <v>24</v>
      </c>
      <c r="H37" s="24">
        <f ca="1">IFERROR(SUMIFS(Data!$P$7:$P$206,Data!$E$7:$E$206,"&gt;="&amp;DATE($P$2,10,1),Data!$E$7:$E$206,"&lt;"&amp;DATE($P$2,11,1),Data!$T$7:$T$206,"",Data!$U$7:$U$206,"Đã hoàn thành")/SUMIFS(Data!$O$7:$O$206,Data!$E$7:$E$206,"&gt;="&amp;DATE($P$2,10,1),Data!$E$7:$E$206,"&lt;"&amp;DATE($P$2,11,1),Data!$T$7:$T$206,"",Data!$U$7:$U$206,"Đã hoàn thành"),"")</f>
        <v>0.96</v>
      </c>
      <c r="I37" s="25">
        <f>SUMIFS(Data!$R$7:$R$206,Data!$E$7:$E$206,"&gt;="&amp;DATE($P$2,10,1),Data!$E$7:$E$206,"&lt;"&amp;DATE($P$2,11,1),Data!$T$7:$T$206,"")</f>
        <v>3000000</v>
      </c>
      <c r="J37" s="25">
        <f>SUM($I$28:I37)</f>
        <v>256000000</v>
      </c>
      <c r="K37" s="25">
        <f>IFERROR(INDEX('Cài đặt'!$C$20:$C$25,MATCH($P$2,'Cài đặt'!$B$20:$B$25,0)),0)*10/12</f>
        <v>291666666.666667</v>
      </c>
    </row>
    <row r="38" spans="2:17" ht="18.75" customHeight="1" x14ac:dyDescent="0.25">
      <c r="B38" s="18" t="s">
        <v>55</v>
      </c>
      <c r="C38" s="12">
        <f>COUNTIFS(Data!$E$7:$E$206,"&gt;="&amp;DATE($P$2,11,1),Data!$E$7:$E$206,"&lt;"&amp;DATE($P$2,12,1),Data!$T$7:$T$206,"")</f>
        <v>2</v>
      </c>
      <c r="D38" s="12">
        <f ca="1">COUNTIFS(Data!$E$7:$E$206,"&gt;="&amp;DATE($P$2,11,1),Data!$E$7:$E$206,"&lt;"&amp;DATE($P$2,12,1),Data!$T$7:$T$206,"",Data!$U$7:$U$206,"Đã hoàn thành")</f>
        <v>0</v>
      </c>
      <c r="E38" s="19">
        <f>SUMIFS(Data!$I$7:$I$206,Data!$E$7:$E$206,"&gt;="&amp;DATE($P$2,11,1),Data!$E$7:$E$206,"&lt;"&amp;DATE($P$2,12,1),Data!$T$7:$T$206,"")</f>
        <v>12</v>
      </c>
      <c r="F38" s="19">
        <f>SUMIFS(Data!$O$7:$O$206,Data!$E$7:$E$206,"&gt;="&amp;DATE($P$2,11,1),Data!$E$7:$E$206,"&lt;"&amp;DATE($P$2,12,1),Data!$T$7:$T$206,"")</f>
        <v>100</v>
      </c>
      <c r="G38" s="19">
        <f>SUMIFS(Data!$P$7:$P$206,Data!$E$7:$E$206,"&gt;="&amp;DATE($P$2,11,1),Data!$E$7:$E$206,"&lt;"&amp;DATE($P$2,12,1),Data!$T$7:$T$206,"")</f>
        <v>0</v>
      </c>
      <c r="H38" s="20" t="str">
        <f ca="1">IFERROR(SUMIFS(Data!$P$7:$P$206,Data!$E$7:$E$206,"&gt;="&amp;DATE($P$2,11,1),Data!$E$7:$E$206,"&lt;"&amp;DATE($P$2,12,1),Data!$T$7:$T$206,"",Data!$U$7:$U$206,"Đã hoàn thành")/SUMIFS(Data!$O$7:$O$206,Data!$E$7:$E$206,"&gt;="&amp;DATE($P$2,11,1),Data!$E$7:$E$206,"&lt;"&amp;DATE($P$2,12,1),Data!$T$7:$T$206,"",Data!$U$7:$U$206,"Đã hoàn thành"),"")</f>
        <v/>
      </c>
      <c r="I38" s="21">
        <f>SUMIFS(Data!$R$7:$R$206,Data!$E$7:$E$206,"&gt;="&amp;DATE($P$2,11,1),Data!$E$7:$E$206,"&lt;"&amp;DATE($P$2,12,1),Data!$T$7:$T$206,"")</f>
        <v>21000000</v>
      </c>
      <c r="J38" s="21">
        <f>SUM($I$28:I38)</f>
        <v>277000000</v>
      </c>
      <c r="K38" s="21">
        <f>IFERROR(INDEX('Cài đặt'!$C$20:$C$25,MATCH($P$2,'Cài đặt'!$B$20:$B$25,0)),0)*11/12</f>
        <v>320833333.333333</v>
      </c>
    </row>
    <row r="39" spans="2:17" ht="18.75" customHeight="1" x14ac:dyDescent="0.25">
      <c r="B39" s="22" t="s">
        <v>56</v>
      </c>
      <c r="C39" s="16">
        <f>COUNTIFS(Data!$E$7:$E$206,"&gt;="&amp;DATE($P$2,12,1),Data!$E$7:$E$206,"&lt;"&amp;DATE($P$2,13,1),Data!$T$7:$T$206,"")</f>
        <v>2</v>
      </c>
      <c r="D39" s="16">
        <f ca="1">COUNTIFS(Data!$E$7:$E$206,"&gt;="&amp;DATE($P$2,12,1),Data!$E$7:$E$206,"&lt;"&amp;DATE($P$2,13,1),Data!$T$7:$T$206,"",Data!$U$7:$U$206,"Đã hoàn thành")</f>
        <v>0</v>
      </c>
      <c r="E39" s="23">
        <f>SUMIFS(Data!$I$7:$I$206,Data!$E$7:$E$206,"&gt;="&amp;DATE($P$2,12,1),Data!$E$7:$E$206,"&lt;"&amp;DATE($P$2,13,1),Data!$T$7:$T$206,"")</f>
        <v>20</v>
      </c>
      <c r="F39" s="23">
        <f>SUMIFS(Data!$O$7:$O$206,Data!$E$7:$E$206,"&gt;="&amp;DATE($P$2,12,1),Data!$E$7:$E$206,"&lt;"&amp;DATE($P$2,13,1),Data!$T$7:$T$206,"")</f>
        <v>65</v>
      </c>
      <c r="G39" s="23">
        <f>SUMIFS(Data!$P$7:$P$206,Data!$E$7:$E$206,"&gt;="&amp;DATE($P$2,12,1),Data!$E$7:$E$206,"&lt;"&amp;DATE($P$2,13,1),Data!$T$7:$T$206,"")</f>
        <v>0</v>
      </c>
      <c r="H39" s="24" t="str">
        <f ca="1">IFERROR(SUMIFS(Data!$P$7:$P$206,Data!$E$7:$E$206,"&gt;="&amp;DATE($P$2,12,1),Data!$E$7:$E$206,"&lt;"&amp;DATE($P$2,13,1),Data!$T$7:$T$206,"",Data!$U$7:$U$206,"Đã hoàn thành")/SUMIFS(Data!$O$7:$O$206,Data!$E$7:$E$206,"&gt;="&amp;DATE($P$2,12,1),Data!$E$7:$E$206,"&lt;"&amp;DATE($P$2,13,1),Data!$T$7:$T$206,"",Data!$U$7:$U$206,"Đã hoàn thành"),"")</f>
        <v/>
      </c>
      <c r="I39" s="25">
        <f>SUMIFS(Data!$R$7:$R$206,Data!$E$7:$E$206,"&gt;="&amp;DATE($P$2,12,1),Data!$E$7:$E$206,"&lt;"&amp;DATE($P$2,13,1),Data!$T$7:$T$206,"")</f>
        <v>8000000</v>
      </c>
      <c r="J39" s="25">
        <f>SUM($I$28:I39)</f>
        <v>285000000</v>
      </c>
      <c r="K39" s="25">
        <f>IFERROR(INDEX('Cài đặt'!$C$20:$C$25,MATCH($P$2,'Cài đặt'!$B$20:$B$25,0)),0)*12/12</f>
        <v>350000000</v>
      </c>
    </row>
    <row r="40" spans="2:17" ht="21.75" customHeight="1" x14ac:dyDescent="0.25">
      <c r="B40" s="27" t="s">
        <v>57</v>
      </c>
      <c r="C40" s="28">
        <f>SUM(C28:C39)</f>
        <v>36</v>
      </c>
      <c r="D40" s="28">
        <f ca="1">SUM(D28:D39)</f>
        <v>29</v>
      </c>
      <c r="E40" s="29">
        <f>SUM(E28:E39)</f>
        <v>288</v>
      </c>
      <c r="F40" s="29">
        <f>SUM(F28:F39)</f>
        <v>1380</v>
      </c>
      <c r="G40" s="29">
        <f>SUM(G28:G39)</f>
        <v>981</v>
      </c>
      <c r="H40" s="30">
        <f ca="1">IFERROR(SUMIFS(Data!$P$7:$P$206,Data!$W$7:$W$206,$P$2,Data!$T$7:$T$206,"",Data!$U$7:$U$206,"Đã hoàn thành")/SUMIFS(Data!$O$7:$O$206,Data!$W$7:$W$206,$P$2,Data!$T$7:$T$206,"",Data!$U$7:$U$206,"Đã hoàn thành"),"")</f>
        <v>0.918575063613232</v>
      </c>
      <c r="I40" s="31">
        <f>SUM(I28:I39)</f>
        <v>285000000</v>
      </c>
      <c r="J40" s="31">
        <f>J39</f>
        <v>285000000</v>
      </c>
      <c r="K40" s="31">
        <f>K39</f>
        <v>350000000</v>
      </c>
    </row>
    <row r="41" spans="2:17" ht="12" customHeight="1" x14ac:dyDescent="0.25"/>
    <row r="42" spans="2:17" ht="24" customHeight="1" x14ac:dyDescent="0.25">
      <c r="B42" s="7" t="s">
        <v>58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60" spans="2:17" ht="24" customHeight="1" x14ac:dyDescent="0.25">
      <c r="B60" s="7" t="s">
        <v>59</v>
      </c>
      <c r="C60" s="8"/>
      <c r="D60" s="8"/>
      <c r="E60" s="8"/>
      <c r="F60" s="8"/>
      <c r="G60" s="8"/>
      <c r="H60" s="8"/>
      <c r="J60" s="7" t="s">
        <v>60</v>
      </c>
      <c r="K60" s="8"/>
      <c r="L60" s="8"/>
      <c r="M60" s="8"/>
      <c r="N60" s="8"/>
      <c r="O60" s="8"/>
      <c r="P60" s="8"/>
      <c r="Q60" s="8"/>
    </row>
    <row r="61" spans="2:17" ht="31.5" customHeight="1" x14ac:dyDescent="0.25">
      <c r="B61" s="9" t="s">
        <v>16</v>
      </c>
      <c r="C61" s="9" t="s">
        <v>35</v>
      </c>
      <c r="D61" s="9" t="s">
        <v>27</v>
      </c>
      <c r="E61" s="9" t="s">
        <v>46</v>
      </c>
      <c r="F61" s="9" t="s">
        <v>47</v>
      </c>
      <c r="G61" s="9" t="s">
        <v>31</v>
      </c>
      <c r="H61" s="9" t="s">
        <v>36</v>
      </c>
      <c r="J61" s="9" t="s">
        <v>61</v>
      </c>
      <c r="K61" s="9" t="s">
        <v>35</v>
      </c>
      <c r="L61" s="9" t="s">
        <v>27</v>
      </c>
      <c r="M61" s="9" t="s">
        <v>46</v>
      </c>
      <c r="N61" s="9" t="s">
        <v>62</v>
      </c>
      <c r="O61" s="9" t="s">
        <v>30</v>
      </c>
      <c r="P61" s="9" t="s">
        <v>47</v>
      </c>
      <c r="Q61" s="9" t="s">
        <v>31</v>
      </c>
    </row>
    <row r="62" spans="2:17" ht="19.5" customHeight="1" x14ac:dyDescent="0.25">
      <c r="B62" s="32" t="str">
        <f>'Danh mục'!B7</f>
        <v>Technical</v>
      </c>
      <c r="C62" s="33">
        <f>COUNTIFS(Data!$W$7:$W$206,$P$2,Data!$T$7:$T$206,"",Data!$D$7:$D$206,$B62)</f>
        <v>8</v>
      </c>
      <c r="D62" s="34">
        <f>SUMIFS(Data!$I$7:$I$206,Data!$W$7:$W$206,$P$2,Data!$T$7:$T$206,"",Data!$D$7:$D$206,$B62)</f>
        <v>64</v>
      </c>
      <c r="E62" s="34">
        <f>SUMIFS(Data!$P$7:$P$206,Data!$W$7:$W$206,$P$2,Data!$T$7:$T$206,"",Data!$D$7:$D$206,$B62)</f>
        <v>129</v>
      </c>
      <c r="F62" s="35">
        <f>IFERROR(AVERAGEIFS(Data!$S$7:$S$206,Data!$W$7:$W$206,$P$2,Data!$T$7:$T$206,"",Data!$D$7:$D$206,$B62),"-")</f>
        <v>4.3</v>
      </c>
      <c r="G62" s="36">
        <f>SUMIFS(Data!$R$7:$R$206,Data!$W$7:$W$206,$P$2,Data!$T$7:$T$206,"",Data!$D$7:$D$206,$B62)</f>
        <v>53000000</v>
      </c>
      <c r="H62" s="37">
        <f>IFERROR(G62/SUM($G$62:$G$66),0)</f>
        <v>0.174342105263158</v>
      </c>
      <c r="J62" s="18" t="str">
        <f>'Danh mục'!D7</f>
        <v>Toàn công ty</v>
      </c>
      <c r="K62" s="12">
        <f>COUNTIFS(Data!$W$7:$W$206,$P$2,Data!$T$7:$T$206,"",Data!$N$7:$N$206,$J62)</f>
        <v>14</v>
      </c>
      <c r="L62" s="19">
        <f>SUMIFS(Data!$I$7:$I$206,Data!$W$7:$W$206,$P$2,Data!$T$7:$T$206,"",Data!$N$7:$N$206,$J62)</f>
        <v>108</v>
      </c>
      <c r="M62" s="19">
        <f>SUMIFS(Data!$P$7:$P$206,Data!$W$7:$W$206,$P$2,Data!$T$7:$T$206,"",Data!$N$7:$N$206,$J62)</f>
        <v>356</v>
      </c>
      <c r="N62" s="19">
        <f>SUMIFS(Data!$Z$7:$Z$206,Data!$W$7:$W$206,$P$2,Data!$T$7:$T$206,"",Data!$N$7:$N$206,$J62)</f>
        <v>2032</v>
      </c>
      <c r="O62" s="20">
        <f ca="1">IFERROR(SUMIFS(Data!$P$7:$P$206,Data!$W$7:$W$206,$P$2,Data!$T$7:$T$206,"",Data!$N$7:$N$206,$J62,Data!$U$7:$U$206,"Đã hoàn thành")/SUMIFS(Data!$O$7:$O$206,Data!$W$7:$W$206,$P$2,Data!$T$7:$T$206,"",Data!$N$7:$N$206,$J62,Data!$U$7:$U$206,"Đã hoàn thành"),"-")</f>
        <v>0.912820512820513</v>
      </c>
      <c r="P62" s="26">
        <f>IFERROR(AVERAGEIFS(Data!$S$7:$S$206,Data!$W$7:$W$206,$P$2,Data!$T$7:$T$206,"",Data!$N$7:$N$206,$J62),"-")</f>
        <v>4.41</v>
      </c>
      <c r="Q62" s="21">
        <f>SUMIFS(Data!$R$7:$R$206,Data!$W$7:$W$206,$P$2,Data!$T$7:$T$206,"",Data!$N$7:$N$206,$J62)</f>
        <v>143000000</v>
      </c>
    </row>
    <row r="63" spans="2:17" ht="19.5" customHeight="1" x14ac:dyDescent="0.25">
      <c r="B63" s="38" t="str">
        <f>'Danh mục'!B8</f>
        <v>Soft Skill</v>
      </c>
      <c r="C63" s="33">
        <f>COUNTIFS(Data!$W$7:$W$206,$P$2,Data!$T$7:$T$206,"",Data!$D$7:$D$206,$B63)</f>
        <v>7</v>
      </c>
      <c r="D63" s="34">
        <f>SUMIFS(Data!$I$7:$I$206,Data!$W$7:$W$206,$P$2,Data!$T$7:$T$206,"",Data!$D$7:$D$206,$B63)</f>
        <v>64</v>
      </c>
      <c r="E63" s="34">
        <f>SUMIFS(Data!$P$7:$P$206,Data!$W$7:$W$206,$P$2,Data!$T$7:$T$206,"",Data!$D$7:$D$206,$B63)</f>
        <v>128</v>
      </c>
      <c r="F63" s="35">
        <f>IFERROR(AVERAGEIFS(Data!$S$7:$S$206,Data!$W$7:$W$206,$P$2,Data!$T$7:$T$206,"",Data!$D$7:$D$206,$B63),"-")</f>
        <v>4.28333333333333</v>
      </c>
      <c r="G63" s="36">
        <f>SUMIFS(Data!$R$7:$R$206,Data!$W$7:$W$206,$P$2,Data!$T$7:$T$206,"",Data!$D$7:$D$206,$B63)</f>
        <v>88000000</v>
      </c>
      <c r="H63" s="37">
        <f>IFERROR(G63/SUM($G$62:$G$66),0)</f>
        <v>0.289473684210526</v>
      </c>
      <c r="J63" s="22" t="str">
        <f>'Danh mục'!D8</f>
        <v>Sản xuất</v>
      </c>
      <c r="K63" s="16">
        <f>COUNTIFS(Data!$W$7:$W$206,$P$2,Data!$T$7:$T$206,"",Data!$N$7:$N$206,$J63)</f>
        <v>4</v>
      </c>
      <c r="L63" s="23">
        <f>SUMIFS(Data!$I$7:$I$206,Data!$W$7:$W$206,$P$2,Data!$T$7:$T$206,"",Data!$N$7:$N$206,$J63)</f>
        <v>64</v>
      </c>
      <c r="M63" s="23">
        <f>SUMIFS(Data!$P$7:$P$206,Data!$W$7:$W$206,$P$2,Data!$T$7:$T$206,"",Data!$N$7:$N$206,$J63)</f>
        <v>117</v>
      </c>
      <c r="N63" s="23">
        <f>SUMIFS(Data!$Z$7:$Z$206,Data!$W$7:$W$206,$P$2,Data!$T$7:$T$206,"",Data!$N$7:$N$206,$J63)</f>
        <v>1800</v>
      </c>
      <c r="O63" s="24">
        <f ca="1">IFERROR(SUMIFS(Data!$P$7:$P$206,Data!$W$7:$W$206,$P$2,Data!$T$7:$T$206,"",Data!$N$7:$N$206,$J63,Data!$U$7:$U$206,"Đã hoàn thành")/SUMIFS(Data!$O$7:$O$206,Data!$W$7:$W$206,$P$2,Data!$T$7:$T$206,"",Data!$N$7:$N$206,$J63,Data!$U$7:$U$206,"Đã hoàn thành"),"-")</f>
        <v>0.936</v>
      </c>
      <c r="P63" s="39">
        <f>IFERROR(AVERAGEIFS(Data!$S$7:$S$206,Data!$W$7:$W$206,$P$2,Data!$T$7:$T$206,"",Data!$N$7:$N$206,$J63),"-")</f>
        <v>4.225</v>
      </c>
      <c r="Q63" s="25">
        <f>SUMIFS(Data!$R$7:$R$206,Data!$W$7:$W$206,$P$2,Data!$T$7:$T$206,"",Data!$N$7:$N$206,$J63)</f>
        <v>54000000</v>
      </c>
    </row>
    <row r="64" spans="2:17" ht="19.5" customHeight="1" x14ac:dyDescent="0.25">
      <c r="B64" s="40" t="str">
        <f>'Danh mục'!B9</f>
        <v>Compliance</v>
      </c>
      <c r="C64" s="33">
        <f>COUNTIFS(Data!$W$7:$W$206,$P$2,Data!$T$7:$T$206,"",Data!$D$7:$D$206,$B64)</f>
        <v>9</v>
      </c>
      <c r="D64" s="34">
        <f>SUMIFS(Data!$I$7:$I$206,Data!$W$7:$W$206,$P$2,Data!$T$7:$T$206,"",Data!$D$7:$D$206,$B64)</f>
        <v>80</v>
      </c>
      <c r="E64" s="34">
        <f>SUMIFS(Data!$P$7:$P$206,Data!$W$7:$W$206,$P$2,Data!$T$7:$T$206,"",Data!$D$7:$D$206,$B64)</f>
        <v>278</v>
      </c>
      <c r="F64" s="35">
        <f>IFERROR(AVERAGEIFS(Data!$S$7:$S$206,Data!$W$7:$W$206,$P$2,Data!$T$7:$T$206,"",Data!$D$7:$D$206,$B64),"-")</f>
        <v>4.2125</v>
      </c>
      <c r="G64" s="36">
        <f>SUMIFS(Data!$R$7:$R$206,Data!$W$7:$W$206,$P$2,Data!$T$7:$T$206,"",Data!$D$7:$D$206,$B64)</f>
        <v>38000000</v>
      </c>
      <c r="H64" s="37">
        <f>IFERROR(G64/SUM($G$62:$G$66),0)</f>
        <v>0.125</v>
      </c>
      <c r="J64" s="18" t="str">
        <f>'Danh mục'!D9</f>
        <v>QA/QC</v>
      </c>
      <c r="K64" s="12">
        <f>COUNTIFS(Data!$W$7:$W$206,$P$2,Data!$T$7:$T$206,"",Data!$N$7:$N$206,$J64)</f>
        <v>4</v>
      </c>
      <c r="L64" s="19">
        <f>SUMIFS(Data!$I$7:$I$206,Data!$W$7:$W$206,$P$2,Data!$T$7:$T$206,"",Data!$N$7:$N$206,$J64)</f>
        <v>24</v>
      </c>
      <c r="M64" s="19">
        <f>SUMIFS(Data!$P$7:$P$206,Data!$W$7:$W$206,$P$2,Data!$T$7:$T$206,"",Data!$N$7:$N$206,$J64)</f>
        <v>45</v>
      </c>
      <c r="N64" s="19">
        <f>SUMIFS(Data!$Z$7:$Z$206,Data!$W$7:$W$206,$P$2,Data!$T$7:$T$206,"",Data!$N$7:$N$206,$J64)</f>
        <v>288</v>
      </c>
      <c r="O64" s="20">
        <f ca="1">IFERROR(SUMIFS(Data!$P$7:$P$206,Data!$W$7:$W$206,$P$2,Data!$T$7:$T$206,"",Data!$N$7:$N$206,$J64,Data!$U$7:$U$206,"Đã hoàn thành")/SUMIFS(Data!$O$7:$O$206,Data!$W$7:$W$206,$P$2,Data!$T$7:$T$206,"",Data!$N$7:$N$206,$J64,Data!$U$7:$U$206,"Đã hoàn thành"),"-")</f>
        <v>0.957446808510638</v>
      </c>
      <c r="P64" s="26">
        <f>IFERROR(AVERAGEIFS(Data!$S$7:$S$206,Data!$W$7:$W$206,$P$2,Data!$T$7:$T$206,"",Data!$N$7:$N$206,$J64),"-")</f>
        <v>4.36666666666667</v>
      </c>
      <c r="Q64" s="21">
        <f>SUMIFS(Data!$R$7:$R$206,Data!$W$7:$W$206,$P$2,Data!$T$7:$T$206,"",Data!$N$7:$N$206,$J64)</f>
        <v>18000000</v>
      </c>
    </row>
    <row r="65" spans="2:17" ht="19.5" customHeight="1" x14ac:dyDescent="0.25">
      <c r="B65" s="41" t="str">
        <f>'Danh mục'!B10</f>
        <v>Leadership</v>
      </c>
      <c r="C65" s="33">
        <f>COUNTIFS(Data!$W$7:$W$206,$P$2,Data!$T$7:$T$206,"",Data!$D$7:$D$206,$B65)</f>
        <v>7</v>
      </c>
      <c r="D65" s="34">
        <f>SUMIFS(Data!$I$7:$I$206,Data!$W$7:$W$206,$P$2,Data!$T$7:$T$206,"",Data!$D$7:$D$206,$B65)</f>
        <v>60</v>
      </c>
      <c r="E65" s="34">
        <f>SUMIFS(Data!$P$7:$P$206,Data!$W$7:$W$206,$P$2,Data!$T$7:$T$206,"",Data!$D$7:$D$206,$B65)</f>
        <v>89</v>
      </c>
      <c r="F65" s="35">
        <f>IFERROR(AVERAGEIFS(Data!$S$7:$S$206,Data!$W$7:$W$206,$P$2,Data!$T$7:$T$206,"",Data!$D$7:$D$206,$B65),"-")</f>
        <v>4.44</v>
      </c>
      <c r="G65" s="36">
        <f>SUMIFS(Data!$R$7:$R$206,Data!$W$7:$W$206,$P$2,Data!$T$7:$T$206,"",Data!$D$7:$D$206,$B65)</f>
        <v>120000000</v>
      </c>
      <c r="H65" s="37">
        <f>IFERROR(G65/SUM($G$62:$G$66),0)</f>
        <v>0.394736842105263</v>
      </c>
      <c r="J65" s="22" t="str">
        <f>'Danh mục'!D10</f>
        <v>Kinh doanh</v>
      </c>
      <c r="K65" s="16">
        <f>COUNTIFS(Data!$W$7:$W$206,$P$2,Data!$T$7:$T$206,"",Data!$N$7:$N$206,$J65)</f>
        <v>3</v>
      </c>
      <c r="L65" s="23">
        <f>SUMIFS(Data!$I$7:$I$206,Data!$W$7:$W$206,$P$2,Data!$T$7:$T$206,"",Data!$N$7:$N$206,$J65)</f>
        <v>28</v>
      </c>
      <c r="M65" s="23">
        <f>SUMIFS(Data!$P$7:$P$206,Data!$W$7:$W$206,$P$2,Data!$T$7:$T$206,"",Data!$N$7:$N$206,$J65)</f>
        <v>77</v>
      </c>
      <c r="N65" s="23">
        <f>SUMIFS(Data!$Z$7:$Z$206,Data!$W$7:$W$206,$P$2,Data!$T$7:$T$206,"",Data!$N$7:$N$206,$J65)</f>
        <v>736</v>
      </c>
      <c r="O65" s="24">
        <f ca="1">IFERROR(SUMIFS(Data!$P$7:$P$206,Data!$W$7:$W$206,$P$2,Data!$T$7:$T$206,"",Data!$N$7:$N$206,$J65,Data!$U$7:$U$206,"Đã hoàn thành")/SUMIFS(Data!$O$7:$O$206,Data!$W$7:$W$206,$P$2,Data!$T$7:$T$206,"",Data!$N$7:$N$206,$J65,Data!$U$7:$U$206,"Đã hoàn thành"),"-")</f>
        <v>0.905882352941177</v>
      </c>
      <c r="P65" s="39">
        <f>IFERROR(AVERAGEIFS(Data!$S$7:$S$206,Data!$W$7:$W$206,$P$2,Data!$T$7:$T$206,"",Data!$N$7:$N$206,$J65),"-")</f>
        <v>4.36666666666667</v>
      </c>
      <c r="Q65" s="25">
        <f>SUMIFS(Data!$R$7:$R$206,Data!$W$7:$W$206,$P$2,Data!$T$7:$T$206,"",Data!$N$7:$N$206,$J65)</f>
        <v>52000000</v>
      </c>
    </row>
    <row r="66" spans="2:17" ht="19.5" customHeight="1" x14ac:dyDescent="0.25">
      <c r="B66" s="42" t="str">
        <f>'Danh mục'!B11</f>
        <v>Hội nhập</v>
      </c>
      <c r="C66" s="33">
        <f>COUNTIFS(Data!$W$7:$W$206,$P$2,Data!$T$7:$T$206,"",Data!$D$7:$D$206,$B66)</f>
        <v>5</v>
      </c>
      <c r="D66" s="34">
        <f>SUMIFS(Data!$I$7:$I$206,Data!$W$7:$W$206,$P$2,Data!$T$7:$T$206,"",Data!$D$7:$D$206,$B66)</f>
        <v>20</v>
      </c>
      <c r="E66" s="34">
        <f>SUMIFS(Data!$P$7:$P$206,Data!$W$7:$W$206,$P$2,Data!$T$7:$T$206,"",Data!$D$7:$D$206,$B66)</f>
        <v>98</v>
      </c>
      <c r="F66" s="35">
        <f>IFERROR(AVERAGEIFS(Data!$S$7:$S$206,Data!$W$7:$W$206,$P$2,Data!$T$7:$T$206,"",Data!$D$7:$D$206,$B66),"-")</f>
        <v>4.35</v>
      </c>
      <c r="G66" s="36">
        <f>SUMIFS(Data!$R$7:$R$206,Data!$W$7:$W$206,$P$2,Data!$T$7:$T$206,"",Data!$D$7:$D$206,$B66)</f>
        <v>5000000</v>
      </c>
      <c r="H66" s="37">
        <f>IFERROR(G66/SUM($G$62:$G$66),0)</f>
        <v>0.0164473684210526</v>
      </c>
      <c r="J66" s="18" t="str">
        <f>'Danh mục'!D11</f>
        <v>Marketing</v>
      </c>
      <c r="K66" s="12">
        <f>COUNTIFS(Data!$W$7:$W$206,$P$2,Data!$T$7:$T$206,"",Data!$N$7:$N$206,$J66)</f>
        <v>2</v>
      </c>
      <c r="L66" s="19">
        <f>SUMIFS(Data!$I$7:$I$206,Data!$W$7:$W$206,$P$2,Data!$T$7:$T$206,"",Data!$N$7:$N$206,$J66)</f>
        <v>8</v>
      </c>
      <c r="M66" s="19">
        <f>SUMIFS(Data!$P$7:$P$206,Data!$W$7:$W$206,$P$2,Data!$T$7:$T$206,"",Data!$N$7:$N$206,$J66)</f>
        <v>32</v>
      </c>
      <c r="N66" s="19">
        <f>SUMIFS(Data!$Z$7:$Z$206,Data!$W$7:$W$206,$P$2,Data!$T$7:$T$206,"",Data!$N$7:$N$206,$J66)</f>
        <v>128</v>
      </c>
      <c r="O66" s="20">
        <f ca="1">IFERROR(SUMIFS(Data!$P$7:$P$206,Data!$W$7:$W$206,$P$2,Data!$T$7:$T$206,"",Data!$N$7:$N$206,$J66,Data!$U$7:$U$206,"Đã hoàn thành")/SUMIFS(Data!$O$7:$O$206,Data!$W$7:$W$206,$P$2,Data!$T$7:$T$206,"",Data!$N$7:$N$206,$J66,Data!$U$7:$U$206,"Đã hoàn thành"),"-")</f>
        <v>0.914285714285714</v>
      </c>
      <c r="P66" s="26">
        <f>IFERROR(AVERAGEIFS(Data!$S$7:$S$206,Data!$W$7:$W$206,$P$2,Data!$T$7:$T$206,"",Data!$N$7:$N$206,$J66),"-")</f>
        <v>4.3</v>
      </c>
      <c r="Q66" s="21">
        <f>SUMIFS(Data!$R$7:$R$206,Data!$W$7:$W$206,$P$2,Data!$T$7:$T$206,"",Data!$N$7:$N$206,$J66)</f>
        <v>12000000</v>
      </c>
    </row>
    <row r="67" spans="2:17" ht="19.5" customHeight="1" x14ac:dyDescent="0.25">
      <c r="B67" s="27" t="s">
        <v>63</v>
      </c>
      <c r="C67" s="28">
        <f>SUM(C62:C66)</f>
        <v>36</v>
      </c>
      <c r="D67" s="29">
        <f>SUM(D62:D66)</f>
        <v>288</v>
      </c>
      <c r="E67" s="29">
        <f>SUM(E62:E66)</f>
        <v>722</v>
      </c>
      <c r="F67" s="43">
        <f>IFERROR(AVERAGEIFS(Data!$S$7:$S$206,Data!$W$7:$W$206,$P$2,Data!$T$7:$T$206,""),"-")</f>
        <v>4.30344827586207</v>
      </c>
      <c r="G67" s="31">
        <f>SUM(G62:G66)</f>
        <v>304000000</v>
      </c>
      <c r="H67" s="30">
        <f>IF(G67&gt;0,1,0)</f>
        <v>1</v>
      </c>
      <c r="J67" s="22" t="str">
        <f>'Danh mục'!D12</f>
        <v>Nhân sự</v>
      </c>
      <c r="K67" s="16">
        <f>COUNTIFS(Data!$W$7:$W$206,$P$2,Data!$T$7:$T$206,"",Data!$N$7:$N$206,$J67)</f>
        <v>1</v>
      </c>
      <c r="L67" s="23">
        <f>SUMIFS(Data!$I$7:$I$206,Data!$W$7:$W$206,$P$2,Data!$T$7:$T$206,"",Data!$N$7:$N$206,$J67)</f>
        <v>4</v>
      </c>
      <c r="M67" s="23">
        <f>SUMIFS(Data!$P$7:$P$206,Data!$W$7:$W$206,$P$2,Data!$T$7:$T$206,"",Data!$N$7:$N$206,$J67)</f>
        <v>11</v>
      </c>
      <c r="N67" s="23">
        <f>SUMIFS(Data!$Z$7:$Z$206,Data!$W$7:$W$206,$P$2,Data!$T$7:$T$206,"",Data!$N$7:$N$206,$J67)</f>
        <v>44</v>
      </c>
      <c r="O67" s="24">
        <f ca="1">IFERROR(SUMIFS(Data!$P$7:$P$206,Data!$W$7:$W$206,$P$2,Data!$T$7:$T$206,"",Data!$N$7:$N$206,$J67,Data!$U$7:$U$206,"Đã hoàn thành")/SUMIFS(Data!$O$7:$O$206,Data!$W$7:$W$206,$P$2,Data!$T$7:$T$206,"",Data!$N$7:$N$206,$J67,Data!$U$7:$U$206,"Đã hoàn thành"),"-")</f>
        <v>0.916666666666667</v>
      </c>
      <c r="P67" s="39">
        <f>IFERROR(AVERAGEIFS(Data!$S$7:$S$206,Data!$W$7:$W$206,$P$2,Data!$T$7:$T$206,"",Data!$N$7:$N$206,$J67),"-")</f>
        <v>4.3</v>
      </c>
      <c r="Q67" s="25">
        <f>SUMIFS(Data!$R$7:$R$206,Data!$W$7:$W$206,$P$2,Data!$T$7:$T$206,"",Data!$N$7:$N$206,$J67)</f>
        <v>10000000</v>
      </c>
    </row>
    <row r="68" spans="2:17" ht="19.5" customHeight="1" x14ac:dyDescent="0.25">
      <c r="J68" s="18" t="str">
        <f>'Danh mục'!D13</f>
        <v>Tài chính</v>
      </c>
      <c r="K68" s="12">
        <f>COUNTIFS(Data!$W$7:$W$206,$P$2,Data!$T$7:$T$206,"",Data!$N$7:$N$206,$J68)</f>
        <v>2</v>
      </c>
      <c r="L68" s="19">
        <f>SUMIFS(Data!$I$7:$I$206,Data!$W$7:$W$206,$P$2,Data!$T$7:$T$206,"",Data!$N$7:$N$206,$J68)</f>
        <v>8</v>
      </c>
      <c r="M68" s="19">
        <f>SUMIFS(Data!$P$7:$P$206,Data!$W$7:$W$206,$P$2,Data!$T$7:$T$206,"",Data!$N$7:$N$206,$J68)</f>
        <v>32</v>
      </c>
      <c r="N68" s="19">
        <f>SUMIFS(Data!$Z$7:$Z$206,Data!$W$7:$W$206,$P$2,Data!$T$7:$T$206,"",Data!$N$7:$N$206,$J68)</f>
        <v>128</v>
      </c>
      <c r="O68" s="20">
        <f ca="1">IFERROR(SUMIFS(Data!$P$7:$P$206,Data!$W$7:$W$206,$P$2,Data!$T$7:$T$206,"",Data!$N$7:$N$206,$J68,Data!$U$7:$U$206,"Đã hoàn thành")/SUMIFS(Data!$O$7:$O$206,Data!$W$7:$W$206,$P$2,Data!$T$7:$T$206,"",Data!$N$7:$N$206,$J68,Data!$U$7:$U$206,"Đã hoàn thành"),"-")</f>
        <v>0.888888888888889</v>
      </c>
      <c r="P68" s="26">
        <f>IFERROR(AVERAGEIFS(Data!$S$7:$S$206,Data!$W$7:$W$206,$P$2,Data!$T$7:$T$206,"",Data!$N$7:$N$206,$J68),"-")</f>
        <v>4.1</v>
      </c>
      <c r="Q68" s="21">
        <f>SUMIFS(Data!$R$7:$R$206,Data!$W$7:$W$206,$P$2,Data!$T$7:$T$206,"",Data!$N$7:$N$206,$J68)</f>
        <v>0</v>
      </c>
    </row>
    <row r="69" spans="2:17" ht="19.5" customHeight="1" x14ac:dyDescent="0.25">
      <c r="J69" s="22" t="str">
        <f>'Danh mục'!D14</f>
        <v>IT</v>
      </c>
      <c r="K69" s="16">
        <f>COUNTIFS(Data!$W$7:$W$206,$P$2,Data!$T$7:$T$206,"",Data!$N$7:$N$206,$J69)</f>
        <v>3</v>
      </c>
      <c r="L69" s="23">
        <f>SUMIFS(Data!$I$7:$I$206,Data!$W$7:$W$206,$P$2,Data!$T$7:$T$206,"",Data!$N$7:$N$206,$J69)</f>
        <v>28</v>
      </c>
      <c r="M69" s="23">
        <f>SUMIFS(Data!$P$7:$P$206,Data!$W$7:$W$206,$P$2,Data!$T$7:$T$206,"",Data!$N$7:$N$206,$J69)</f>
        <v>15</v>
      </c>
      <c r="N69" s="23">
        <f>SUMIFS(Data!$Z$7:$Z$206,Data!$W$7:$W$206,$P$2,Data!$T$7:$T$206,"",Data!$N$7:$N$206,$J69)</f>
        <v>156</v>
      </c>
      <c r="O69" s="24">
        <f ca="1">IFERROR(SUMIFS(Data!$P$7:$P$206,Data!$W$7:$W$206,$P$2,Data!$T$7:$T$206,"",Data!$N$7:$N$206,$J69,Data!$U$7:$U$206,"Đã hoàn thành")/SUMIFS(Data!$O$7:$O$206,Data!$W$7:$W$206,$P$2,Data!$T$7:$T$206,"",Data!$N$7:$N$206,$J69,Data!$U$7:$U$206,"Đã hoàn thành"),"-")</f>
        <v>0.9375</v>
      </c>
      <c r="P69" s="39">
        <f>IFERROR(AVERAGEIFS(Data!$S$7:$S$206,Data!$W$7:$W$206,$P$2,Data!$T$7:$T$206,"",Data!$N$7:$N$206,$J69),"-")</f>
        <v>4.05</v>
      </c>
      <c r="Q69" s="25">
        <f>SUMIFS(Data!$R$7:$R$206,Data!$W$7:$W$206,$P$2,Data!$T$7:$T$206,"",Data!$N$7:$N$206,$J69)</f>
        <v>15000000</v>
      </c>
    </row>
    <row r="70" spans="2:17" ht="19.5" customHeight="1" x14ac:dyDescent="0.25">
      <c r="J70" s="18" t="str">
        <f>'Danh mục'!D15</f>
        <v>Kho vận</v>
      </c>
      <c r="K70" s="12">
        <f>COUNTIFS(Data!$W$7:$W$206,$P$2,Data!$T$7:$T$206,"",Data!$N$7:$N$206,$J70)</f>
        <v>2</v>
      </c>
      <c r="L70" s="19">
        <f>SUMIFS(Data!$I$7:$I$206,Data!$W$7:$W$206,$P$2,Data!$T$7:$T$206,"",Data!$N$7:$N$206,$J70)</f>
        <v>12</v>
      </c>
      <c r="M70" s="19">
        <f>SUMIFS(Data!$P$7:$P$206,Data!$W$7:$W$206,$P$2,Data!$T$7:$T$206,"",Data!$N$7:$N$206,$J70)</f>
        <v>37</v>
      </c>
      <c r="N70" s="19">
        <f>SUMIFS(Data!$Z$7:$Z$206,Data!$W$7:$W$206,$P$2,Data!$T$7:$T$206,"",Data!$N$7:$N$206,$J70)</f>
        <v>240</v>
      </c>
      <c r="O70" s="20">
        <f ca="1">IFERROR(SUMIFS(Data!$P$7:$P$206,Data!$W$7:$W$206,$P$2,Data!$T$7:$T$206,"",Data!$N$7:$N$206,$J70,Data!$U$7:$U$206,"Đã hoàn thành")/SUMIFS(Data!$O$7:$O$206,Data!$W$7:$W$206,$P$2,Data!$T$7:$T$206,"",Data!$N$7:$N$206,$J70,Data!$U$7:$U$206,"Đã hoàn thành"),"-")</f>
        <v>0.925</v>
      </c>
      <c r="P70" s="26">
        <f>IFERROR(AVERAGEIFS(Data!$S$7:$S$206,Data!$W$7:$W$206,$P$2,Data!$T$7:$T$206,"",Data!$N$7:$N$206,$J70),"-")</f>
        <v>4.2</v>
      </c>
      <c r="Q70" s="21">
        <f>SUMIFS(Data!$R$7:$R$206,Data!$W$7:$W$206,$P$2,Data!$T$7:$T$206,"",Data!$N$7:$N$206,$J70)</f>
        <v>0</v>
      </c>
    </row>
    <row r="71" spans="2:17" ht="19.5" customHeight="1" x14ac:dyDescent="0.25">
      <c r="J71" s="22" t="str">
        <f>'Danh mục'!D16</f>
        <v>Ban Giám đốc</v>
      </c>
      <c r="K71" s="16">
        <f>COUNTIFS(Data!$W$7:$W$206,$P$2,Data!$T$7:$T$206,"",Data!$N$7:$N$206,$J71)</f>
        <v>1</v>
      </c>
      <c r="L71" s="23">
        <f>SUMIFS(Data!$I$7:$I$206,Data!$W$7:$W$206,$P$2,Data!$T$7:$T$206,"",Data!$N$7:$N$206,$J71)</f>
        <v>4</v>
      </c>
      <c r="M71" s="23">
        <f>SUMIFS(Data!$P$7:$P$206,Data!$W$7:$W$206,$P$2,Data!$T$7:$T$206,"",Data!$N$7:$N$206,$J71)</f>
        <v>0</v>
      </c>
      <c r="N71" s="23">
        <f>SUMIFS(Data!$Z$7:$Z$206,Data!$W$7:$W$206,$P$2,Data!$T$7:$T$206,"",Data!$N$7:$N$206,$J71)</f>
        <v>0</v>
      </c>
      <c r="O71" s="24" t="str">
        <f ca="1">IFERROR(SUMIFS(Data!$P$7:$P$206,Data!$W$7:$W$206,$P$2,Data!$T$7:$T$206,"",Data!$N$7:$N$206,$J71,Data!$U$7:$U$206,"Đã hoàn thành")/SUMIFS(Data!$O$7:$O$206,Data!$W$7:$W$206,$P$2,Data!$T$7:$T$206,"",Data!$N$7:$N$206,$J71,Data!$U$7:$U$206,"Đã hoàn thành"),"-")</f>
        <v>-</v>
      </c>
      <c r="P71" s="39" t="str">
        <f>IFERROR(AVERAGEIFS(Data!$S$7:$S$206,Data!$W$7:$W$206,$P$2,Data!$T$7:$T$206,"",Data!$N$7:$N$206,$J71),"-")</f>
        <v>-</v>
      </c>
      <c r="Q71" s="25">
        <f>SUMIFS(Data!$R$7:$R$206,Data!$W$7:$W$206,$P$2,Data!$T$7:$T$206,"",Data!$N$7:$N$206,$J71)</f>
        <v>0</v>
      </c>
    </row>
    <row r="90" spans="2:17" x14ac:dyDescent="0.25">
      <c r="B90" s="120" t="s">
        <v>2</v>
      </c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</row>
  </sheetData>
  <mergeCells count="55">
    <mergeCell ref="B90:Q90"/>
    <mergeCell ref="E23:H23"/>
    <mergeCell ref="J23:K23"/>
    <mergeCell ref="N23:O23"/>
    <mergeCell ref="E24:H24"/>
    <mergeCell ref="J24:K24"/>
    <mergeCell ref="N24:O24"/>
    <mergeCell ref="E21:H21"/>
    <mergeCell ref="J21:K21"/>
    <mergeCell ref="N21:O21"/>
    <mergeCell ref="E22:H22"/>
    <mergeCell ref="J22:K22"/>
    <mergeCell ref="N22:O22"/>
    <mergeCell ref="E19:H19"/>
    <mergeCell ref="J19:K19"/>
    <mergeCell ref="N19:O19"/>
    <mergeCell ref="E20:H20"/>
    <mergeCell ref="J20:K20"/>
    <mergeCell ref="N20:O20"/>
    <mergeCell ref="E17:H17"/>
    <mergeCell ref="J17:K17"/>
    <mergeCell ref="N17:O17"/>
    <mergeCell ref="E18:H18"/>
    <mergeCell ref="J18:K18"/>
    <mergeCell ref="N18:O18"/>
    <mergeCell ref="B13:E13"/>
    <mergeCell ref="F13:I13"/>
    <mergeCell ref="J13:M13"/>
    <mergeCell ref="N13:Q13"/>
    <mergeCell ref="E16:H16"/>
    <mergeCell ref="J16:K16"/>
    <mergeCell ref="N16:O16"/>
    <mergeCell ref="B11:E11"/>
    <mergeCell ref="F11:I11"/>
    <mergeCell ref="J11:M11"/>
    <mergeCell ref="N11:Q11"/>
    <mergeCell ref="B12:E12"/>
    <mergeCell ref="F12:I12"/>
    <mergeCell ref="J12:M12"/>
    <mergeCell ref="N12:Q12"/>
    <mergeCell ref="B8:E8"/>
    <mergeCell ref="F8:I8"/>
    <mergeCell ref="J8:M8"/>
    <mergeCell ref="N8:Q8"/>
    <mergeCell ref="B9:E9"/>
    <mergeCell ref="F9:I9"/>
    <mergeCell ref="J9:M9"/>
    <mergeCell ref="N9:Q9"/>
    <mergeCell ref="N2:O2"/>
    <mergeCell ref="P2:Q2"/>
    <mergeCell ref="N3:Q3"/>
    <mergeCell ref="B7:E7"/>
    <mergeCell ref="F7:I7"/>
    <mergeCell ref="J7:M7"/>
    <mergeCell ref="N7:Q7"/>
  </mergeCells>
  <conditionalFormatting sqref="H62:H66">
    <cfRule type="dataBar" priority="19">
      <dataBar>
        <cfvo type="num" val="0"/>
        <cfvo type="num" val="1"/>
        <color rgb="FFE67E22"/>
      </dataBar>
      <extLst>
        <ext xmlns:x14="http://schemas.microsoft.com/office/spreadsheetml/2009/9/main" uri="{B025F937-C7B1-47D3-B67F-A62EFF666E3E}">
          <x14:id>{20DDE7EB-1A99-47FC-AF64-743EC3296FB7}</x14:id>
        </ext>
      </extLst>
    </cfRule>
  </conditionalFormatting>
  <conditionalFormatting sqref="I17:I24">
    <cfRule type="cellIs" dxfId="65" priority="11" operator="equal">
      <formula>"Technical"</formula>
    </cfRule>
    <cfRule type="cellIs" dxfId="64" priority="12" operator="equal">
      <formula>"Soft Skill"</formula>
    </cfRule>
    <cfRule type="cellIs" dxfId="63" priority="13" operator="equal">
      <formula>"Compliance"</formula>
    </cfRule>
    <cfRule type="cellIs" dxfId="62" priority="14" operator="equal">
      <formula>"Leadership"</formula>
    </cfRule>
    <cfRule type="cellIs" dxfId="61" priority="15" operator="equal">
      <formula>"Hội nhập"</formula>
    </cfRule>
  </conditionalFormatting>
  <conditionalFormatting sqref="J12">
    <cfRule type="expression" dxfId="58" priority="8">
      <formula>AND(ISNUMBER(J12),J12&lt;=1)</formula>
    </cfRule>
    <cfRule type="expression" dxfId="57" priority="9">
      <formula>AND(ISNUMBER(J12),J12&gt;1)</formula>
    </cfRule>
  </conditionalFormatting>
  <conditionalFormatting sqref="J28:J39">
    <cfRule type="expression" dxfId="56" priority="17">
      <formula>AND(J28&gt;0,J28&gt;K28)</formula>
    </cfRule>
  </conditionalFormatting>
  <conditionalFormatting sqref="N62:N71">
    <cfRule type="dataBar" priority="20">
      <dataBar>
        <cfvo type="num" val="0"/>
        <cfvo type="max"/>
        <color rgb="FF8E44AD"/>
      </dataBar>
      <extLst>
        <ext xmlns:x14="http://schemas.microsoft.com/office/spreadsheetml/2009/9/main" uri="{B025F937-C7B1-47D3-B67F-A62EFF666E3E}">
          <x14:id>{3613C3EB-33D5-40E1-81CE-E573DB9966BE}</x14:id>
        </ext>
      </extLst>
    </cfRule>
  </conditionalFormatting>
  <conditionalFormatting sqref="Q17:Q24">
    <cfRule type="cellIs" dxfId="54" priority="10" operator="equal">
      <formula>"Đang học"</formula>
    </cfRule>
  </conditionalFormatting>
  <conditionalFormatting sqref="Q28:Q29">
    <cfRule type="dataBar" priority="18">
      <dataBar>
        <cfvo type="num" val="0"/>
        <cfvo type="num" val="1"/>
        <color rgb="FFE67E22"/>
      </dataBar>
      <extLst>
        <ext xmlns:x14="http://schemas.microsoft.com/office/spreadsheetml/2009/9/main" uri="{B025F937-C7B1-47D3-B67F-A62EFF666E3E}">
          <x14:id>{B652C7F7-3056-4A22-981D-AB2030B658BF}</x14:id>
        </ext>
      </extLst>
    </cfRule>
  </conditionalFormatting>
  <dataValidations count="1">
    <dataValidation type="list" sqref="P2" xr:uid="{00000000-0002-0000-0000-000000000000}">
      <formula1>"2024,2025,2026,2027,2028,2029,2030"</formula1>
      <formula2>0</formula2>
    </dataValidation>
  </dataValidations>
  <pageMargins left="0.75" right="0.75" top="1" bottom="1" header="0.511811023622047" footer="0.5"/>
  <pageSetup fitToHeight="0" orientation="landscape" horizontalDpi="300" verticalDpi="300"/>
  <headerFooter>
    <oddFooter>&amp;L&amp;8Vinh Phan | vinhphan.io.vn&amp;R&amp;8Trang &amp;P/&amp;N</oddFooter>
  </headerFooter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00000000-000E-0000-0000-000004000000}">
            <xm:f>AND(ISNUMBER(B12),B12&gt;='Cài đặt'!$C$14)</xm:f>
            <x14:dxf>
              <font>
                <b/>
                <sz val="20"/>
                <color rgb="FF1E8449"/>
                <name val="Tahoma"/>
                <charset val="1"/>
              </font>
            </x14:dxf>
          </x14:cfRule>
          <x14:cfRule type="expression" priority="5" id="{00000000-000E-0000-0000-000005000000}">
            <xm:f>AND(ISNUMBER(B12),B12&lt;'Cài đặt'!$C$14)</xm:f>
            <x14:dxf>
              <font>
                <b/>
                <sz val="20"/>
                <color rgb="FFC0392B"/>
                <name val="Tahoma"/>
                <charset val="1"/>
              </font>
            </x14:dxf>
          </x14:cfRule>
          <xm:sqref>B12</xm:sqref>
        </x14:conditionalFormatting>
        <x14:conditionalFormatting xmlns:xm="http://schemas.microsoft.com/office/excel/2006/main">
          <x14:cfRule type="expression" priority="6" id="{00000000-000E-0000-0000-000006000000}">
            <xm:f>AND(ISNUMBER(F12),F12&gt;='Cài đặt'!$C$15)</xm:f>
            <x14:dxf>
              <font>
                <b/>
                <sz val="20"/>
                <color rgb="FF1E8449"/>
                <name val="Tahoma"/>
                <charset val="1"/>
              </font>
            </x14:dxf>
          </x14:cfRule>
          <x14:cfRule type="expression" priority="7" id="{00000000-000E-0000-0000-000007000000}">
            <xm:f>AND(ISNUMBER(F12),F12&lt;'Cài đặt'!$C$15)</xm:f>
            <x14:dxf>
              <font>
                <b/>
                <sz val="20"/>
                <color rgb="FFC0392B"/>
                <name val="Tahoma"/>
                <charset val="1"/>
              </font>
            </x14:dxf>
          </x14:cfRule>
          <xm:sqref>F12</xm:sqref>
        </x14:conditionalFormatting>
        <x14:conditionalFormatting xmlns:xm="http://schemas.microsoft.com/office/excel/2006/main">
          <x14:cfRule type="expression" priority="16" id="{00000000-000E-0000-0000-000010000000}">
            <xm:f>AND(H28&lt;&gt;"",H28&lt;'Cài đặt'!$C$14)</xm:f>
            <x14:dxf>
              <font>
                <b/>
                <color rgb="FFC0392B"/>
                <name val="Tahoma"/>
                <charset val="1"/>
              </font>
            </x14:dxf>
          </x14:cfRule>
          <xm:sqref>H28:H39</xm:sqref>
        </x14:conditionalFormatting>
        <x14:conditionalFormatting xmlns:xm="http://schemas.microsoft.com/office/excel/2006/main">
          <x14:cfRule type="dataBar" id="{20DDE7EB-1A99-47FC-AF64-743EC3296FB7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E67E22"/>
            </x14:dataBar>
          </x14:cfRule>
          <xm:sqref>H62:H66</xm:sqref>
        </x14:conditionalFormatting>
        <x14:conditionalFormatting xmlns:xm="http://schemas.microsoft.com/office/excel/2006/main">
          <x14:cfRule type="expression" priority="2" id="{00000000-000E-0000-0000-000002000000}">
            <xm:f>J8&gt;='Cài đặt'!$C$13</xm:f>
            <x14:dxf>
              <font>
                <b/>
                <sz val="20"/>
                <color rgb="FF1E8449"/>
                <name val="Tahoma"/>
                <charset val="1"/>
              </font>
            </x14:dxf>
          </x14:cfRule>
          <x14:cfRule type="expression" priority="3" id="{00000000-000E-0000-0000-000003000000}">
            <xm:f>AND(J8&gt;0,J8&lt;'Cài đặt'!$C$13)</xm:f>
            <x14:dxf>
              <font>
                <b/>
                <sz val="20"/>
                <color rgb="FFC0392B"/>
                <name val="Tahoma"/>
                <charset val="1"/>
              </font>
            </x14:dxf>
          </x14:cfRule>
          <xm:sqref>J8</xm:sqref>
        </x14:conditionalFormatting>
        <x14:conditionalFormatting xmlns:xm="http://schemas.microsoft.com/office/excel/2006/main">
          <x14:cfRule type="dataBar" id="{3613C3EB-33D5-40E1-81CE-E573DB9966BE}">
            <x14:dataBar axisPosition="none">
              <x14:cfvo type="num">
                <xm:f>0</xm:f>
              </x14:cfvo>
              <x14:cfvo type="max"/>
              <x14:negativeFillColor rgb="FF8E44AD"/>
            </x14:dataBar>
          </x14:cfRule>
          <xm:sqref>N62:N71</xm:sqref>
        </x14:conditionalFormatting>
        <x14:conditionalFormatting xmlns:xm="http://schemas.microsoft.com/office/excel/2006/main">
          <x14:cfRule type="expression" priority="21" id="{00000000-000E-0000-0000-000015000000}">
            <xm:f>AND(ISNUMBER(O62),O62&lt;'Cài đặt'!$C$14)</xm:f>
            <x14:dxf>
              <font>
                <b/>
                <color rgb="FFC0392B"/>
                <name val="Tahoma"/>
                <charset val="1"/>
              </font>
            </x14:dxf>
          </x14:cfRule>
          <xm:sqref>O62:O71</xm:sqref>
        </x14:conditionalFormatting>
        <x14:conditionalFormatting xmlns:xm="http://schemas.microsoft.com/office/excel/2006/main">
          <x14:cfRule type="dataBar" id="{B652C7F7-3056-4A22-981D-AB2030B658BF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E67E22"/>
            </x14:dataBar>
          </x14:cfRule>
          <xm:sqref>Q28:Q29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3B44"/>
    <pageSetUpPr fitToPage="1"/>
  </sheetPr>
  <dimension ref="A1:AJ47"/>
  <sheetViews>
    <sheetView showGridLines="0" zoomScaleNormal="100" workbookViewId="0">
      <pane ySplit="4" topLeftCell="A17" activePane="bottomLeft" state="frozen"/>
      <selection pane="bottomLeft" activeCell="F9" sqref="F9"/>
    </sheetView>
  </sheetViews>
  <sheetFormatPr defaultColWidth="8.7109375" defaultRowHeight="15" x14ac:dyDescent="0.25"/>
  <cols>
    <col min="1" max="1" width="2" customWidth="1"/>
    <col min="2" max="8" width="5.85546875" customWidth="1"/>
    <col min="9" max="9" width="2" customWidth="1"/>
    <col min="10" max="16" width="5.85546875" customWidth="1"/>
    <col min="17" max="17" width="2" customWidth="1"/>
    <col min="18" max="24" width="5.85546875" customWidth="1"/>
    <col min="25" max="25" width="3" customWidth="1"/>
    <col min="26" max="26" width="4" customWidth="1"/>
    <col min="27" max="27" width="10" customWidth="1"/>
    <col min="28" max="28" width="34" customWidth="1"/>
    <col min="29" max="29" width="12" customWidth="1"/>
    <col min="30" max="31" width="11" customWidth="1"/>
    <col min="32" max="32" width="20" customWidth="1"/>
    <col min="33" max="33" width="13" customWidth="1"/>
    <col min="34" max="34" width="10" customWidth="1"/>
    <col min="35" max="35" width="14" customWidth="1"/>
    <col min="36" max="36" width="5.85546875" customWidth="1"/>
  </cols>
  <sheetData>
    <row r="1" spans="1:36" ht="33.75" customHeight="1" x14ac:dyDescent="0.4">
      <c r="A1" s="2"/>
      <c r="B1" s="2"/>
      <c r="C1" s="2"/>
      <c r="D1" s="3" t="s">
        <v>64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21.75" customHeight="1" x14ac:dyDescent="0.25">
      <c r="A2" s="2"/>
      <c r="B2" s="2"/>
      <c r="C2" s="2"/>
      <c r="D2" s="4" t="str">
        <f>'Cài đặt'!$C$7&amp;"  |  "&amp;'Cài đặt'!$C$8</f>
        <v>CÔNG TY CỔ PHẦN DƯỢC PHẨM ABC  |  Phòng Đào tạo &amp; Phát triển (L&amp;D)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9" t="s">
        <v>65</v>
      </c>
      <c r="S2" s="99"/>
      <c r="T2" s="121">
        <v>2026</v>
      </c>
      <c r="U2" s="121"/>
      <c r="V2" s="1" t="s">
        <v>66</v>
      </c>
      <c r="W2" s="121">
        <v>4</v>
      </c>
      <c r="X2" s="121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4" customHeight="1" x14ac:dyDescent="0.25">
      <c r="A3" s="2"/>
      <c r="B3" s="2"/>
      <c r="C3" s="2"/>
      <c r="D3" s="5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1" t="str">
        <f ca="1">"Hôm nay: "&amp;TEXT(TODAY(),"dd/mm/yyyy")</f>
        <v>Hôm nay: 20/10/2026</v>
      </c>
      <c r="S3" s="101"/>
      <c r="T3" s="101"/>
      <c r="U3" s="101"/>
      <c r="V3" s="101"/>
      <c r="W3" s="101"/>
      <c r="X3" s="10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ht="21.75" customHeight="1" x14ac:dyDescent="0.25">
      <c r="B5" s="44" t="s">
        <v>67</v>
      </c>
      <c r="C5" s="45"/>
      <c r="D5" s="46" t="s">
        <v>68</v>
      </c>
      <c r="F5" s="47"/>
      <c r="G5" s="46" t="s">
        <v>69</v>
      </c>
      <c r="I5" s="48"/>
      <c r="J5" s="46" t="s">
        <v>70</v>
      </c>
      <c r="L5" s="49"/>
      <c r="M5" s="46" t="s">
        <v>71</v>
      </c>
      <c r="O5" s="50"/>
      <c r="P5" s="46" t="s">
        <v>72</v>
      </c>
      <c r="R5" s="51"/>
      <c r="S5" s="46" t="s">
        <v>73</v>
      </c>
      <c r="U5" s="52"/>
      <c r="V5" s="46" t="s">
        <v>74</v>
      </c>
      <c r="Z5" s="122" t="str">
        <f>"DANH SÁCH KHÓA HỌC  |  QUÝ "&amp;$W$2&amp;" / "&amp;$T$2</f>
        <v>DANH SÁCH KHÓA HỌC  |  QUÝ 4 / 2026</v>
      </c>
      <c r="AA5" s="122"/>
      <c r="AB5" s="122"/>
      <c r="AC5" s="122"/>
      <c r="AD5" s="122"/>
      <c r="AE5" s="122"/>
      <c r="AF5" s="122"/>
      <c r="AG5" s="122"/>
      <c r="AH5" s="122"/>
      <c r="AI5" s="122"/>
    </row>
    <row r="6" spans="1:36" hidden="1" x14ac:dyDescent="0.25">
      <c r="B6">
        <f>($W$2-1)*3+1</f>
        <v>10</v>
      </c>
      <c r="D6" s="53">
        <f>DATE($T$2,B$6,1)-WEEKDAY(DATE($T$2,B$6,1),2)+1</f>
        <v>46293</v>
      </c>
      <c r="J6">
        <f>($W$2-1)*3+2</f>
        <v>11</v>
      </c>
      <c r="L6" s="53">
        <f>DATE($T$2,J$6,1)-WEEKDAY(DATE($T$2,J$6,1),2)+1</f>
        <v>46321</v>
      </c>
      <c r="R6">
        <f>($W$2-1)*3+3</f>
        <v>12</v>
      </c>
      <c r="T6" s="53">
        <f>DATE($T$2,R$6,1)-WEEKDAY(DATE($T$2,R$6,1),2)+1</f>
        <v>46356</v>
      </c>
    </row>
    <row r="7" spans="1:36" ht="25.5" customHeight="1" x14ac:dyDescent="0.25">
      <c r="B7" s="123" t="str">
        <f>"THÁNG "&amp;B6&amp;" / "&amp;$T$2</f>
        <v>THÁNG 10 / 2026</v>
      </c>
      <c r="C7" s="123"/>
      <c r="D7" s="123"/>
      <c r="E7" s="123"/>
      <c r="F7" s="123"/>
      <c r="G7" s="123"/>
      <c r="H7" s="123"/>
      <c r="J7" s="123" t="str">
        <f>"THÁNG "&amp;J6&amp;" / "&amp;$T$2</f>
        <v>THÁNG 11 / 2026</v>
      </c>
      <c r="K7" s="123"/>
      <c r="L7" s="123"/>
      <c r="M7" s="123"/>
      <c r="N7" s="123"/>
      <c r="O7" s="123"/>
      <c r="P7" s="123"/>
      <c r="R7" s="123" t="str">
        <f>"THÁNG "&amp;R6&amp;" / "&amp;$T$2</f>
        <v>THÁNG 12 / 2026</v>
      </c>
      <c r="S7" s="123"/>
      <c r="T7" s="123"/>
      <c r="U7" s="123"/>
      <c r="V7" s="123"/>
      <c r="W7" s="123"/>
      <c r="X7" s="123"/>
      <c r="Z7" s="54" t="s">
        <v>75</v>
      </c>
      <c r="AA7" s="54" t="s">
        <v>14</v>
      </c>
      <c r="AB7" s="54" t="s">
        <v>15</v>
      </c>
      <c r="AC7" s="54" t="s">
        <v>16</v>
      </c>
      <c r="AD7" s="54" t="s">
        <v>12</v>
      </c>
      <c r="AE7" s="54" t="s">
        <v>13</v>
      </c>
      <c r="AF7" s="54" t="s">
        <v>17</v>
      </c>
      <c r="AG7" s="54" t="s">
        <v>18</v>
      </c>
      <c r="AH7" s="54" t="s">
        <v>19</v>
      </c>
      <c r="AI7" s="54" t="s">
        <v>76</v>
      </c>
    </row>
    <row r="8" spans="1:36" ht="19.5" customHeight="1" x14ac:dyDescent="0.25">
      <c r="B8" s="55" t="s">
        <v>39</v>
      </c>
      <c r="C8" s="55" t="s">
        <v>41</v>
      </c>
      <c r="D8" s="55" t="s">
        <v>42</v>
      </c>
      <c r="E8" s="55" t="s">
        <v>43</v>
      </c>
      <c r="F8" s="55" t="s">
        <v>45</v>
      </c>
      <c r="G8" s="56" t="s">
        <v>48</v>
      </c>
      <c r="H8" s="56" t="s">
        <v>77</v>
      </c>
      <c r="J8" s="55" t="s">
        <v>39</v>
      </c>
      <c r="K8" s="55" t="s">
        <v>41</v>
      </c>
      <c r="L8" s="55" t="s">
        <v>42</v>
      </c>
      <c r="M8" s="55" t="s">
        <v>43</v>
      </c>
      <c r="N8" s="55" t="s">
        <v>45</v>
      </c>
      <c r="O8" s="56" t="s">
        <v>48</v>
      </c>
      <c r="P8" s="56" t="s">
        <v>77</v>
      </c>
      <c r="R8" s="55" t="s">
        <v>39</v>
      </c>
      <c r="S8" s="55" t="s">
        <v>41</v>
      </c>
      <c r="T8" s="55" t="s">
        <v>42</v>
      </c>
      <c r="U8" s="55" t="s">
        <v>43</v>
      </c>
      <c r="V8" s="55" t="s">
        <v>45</v>
      </c>
      <c r="W8" s="56" t="s">
        <v>48</v>
      </c>
      <c r="X8" s="56" t="s">
        <v>77</v>
      </c>
      <c r="Z8" s="57">
        <f t="shared" ref="Z8:Z47" si="0">IF(AA8="","",ROW()-7)</f>
        <v>1</v>
      </c>
      <c r="AA8" s="57" t="str">
        <f>IFERROR(INDEX(Data!$B$7:$B$206,MATCH(ROW()-7,Data!$X$7:$X$206,0))&amp;"","")</f>
        <v>DT26-030</v>
      </c>
      <c r="AB8" s="58" t="str">
        <f>IFERROR(INDEX(Data!$C$7:$C$206,MATCH(ROW()-7,Data!$X$7:$X$206,0))&amp;"","")</f>
        <v>Chăm sóc khách hàng B2B</v>
      </c>
      <c r="AC8" s="57" t="str">
        <f>IFERROR(INDEX(Data!$D$7:$D$206,MATCH(ROW()-7,Data!$X$7:$X$206,0))&amp;"","")</f>
        <v>Soft Skill</v>
      </c>
      <c r="AD8" s="59">
        <f>IFERROR(INDEX(Data!$E$7:$E$206,MATCH(ROW()-7,Data!$X$7:$X$206,0)),"")</f>
        <v>46300</v>
      </c>
      <c r="AE8" s="59">
        <f>IFERROR(INDEX(Data!$F$7:$F$206,MATCH(ROW()-7,Data!$X$7:$X$206,0)),"")</f>
        <v>46300</v>
      </c>
      <c r="AF8" s="58" t="str">
        <f>IFERROR(INDEX(Data!$J$7:$J$206,MATCH(ROW()-7,Data!$X$7:$X$206,0))&amp;"","")</f>
        <v>Nguyễn Văn An</v>
      </c>
      <c r="AG8" s="57" t="str">
        <f>IFERROR(INDEX(Data!$N$7:$N$206,MATCH(ROW()-7,Data!$X$7:$X$206,0))&amp;"","")</f>
        <v>Kinh doanh</v>
      </c>
      <c r="AH8" s="57" t="str">
        <f>IFERROR(INDEX(Data!$L$7:$L$206,MATCH(ROW()-7,Data!$X$7:$X$206,0))&amp;"","")</f>
        <v>Offline</v>
      </c>
      <c r="AI8" s="57" t="str">
        <f ca="1">IFERROR(INDEX(Data!$U$7:$U$206,MATCH(ROW()-7,Data!$X$7:$X$206,0))&amp;"","")</f>
        <v>Đã hoàn thành</v>
      </c>
    </row>
    <row r="9" spans="1:36" ht="25.5" customHeight="1" x14ac:dyDescent="0.25">
      <c r="B9" s="60">
        <f>$D$6+0</f>
        <v>46293</v>
      </c>
      <c r="C9" s="60">
        <f>$D$6+1</f>
        <v>46294</v>
      </c>
      <c r="D9" s="60">
        <f>$D$6+2</f>
        <v>46295</v>
      </c>
      <c r="E9" s="60">
        <f>$D$6+3</f>
        <v>46296</v>
      </c>
      <c r="F9" s="60">
        <f>$D$6+4</f>
        <v>46297</v>
      </c>
      <c r="G9" s="60">
        <f>$D$6+5</f>
        <v>46298</v>
      </c>
      <c r="H9" s="60">
        <f>$D$6+6</f>
        <v>46299</v>
      </c>
      <c r="J9" s="60">
        <f>$L$6+0</f>
        <v>46321</v>
      </c>
      <c r="K9" s="60">
        <f>$L$6+1</f>
        <v>46322</v>
      </c>
      <c r="L9" s="60">
        <f>$L$6+2</f>
        <v>46323</v>
      </c>
      <c r="M9" s="60">
        <f>$L$6+3</f>
        <v>46324</v>
      </c>
      <c r="N9" s="60">
        <f>$L$6+4</f>
        <v>46325</v>
      </c>
      <c r="O9" s="60">
        <f>$L$6+5</f>
        <v>46326</v>
      </c>
      <c r="P9" s="60">
        <f>$L$6+6</f>
        <v>46327</v>
      </c>
      <c r="R9" s="60">
        <f>$T$6+0</f>
        <v>46356</v>
      </c>
      <c r="S9" s="60">
        <f>$T$6+1</f>
        <v>46357</v>
      </c>
      <c r="T9" s="60">
        <f>$T$6+2</f>
        <v>46358</v>
      </c>
      <c r="U9" s="60">
        <f>$T$6+3</f>
        <v>46359</v>
      </c>
      <c r="V9" s="60">
        <f>$T$6+4</f>
        <v>46360</v>
      </c>
      <c r="W9" s="60">
        <f>$T$6+5</f>
        <v>46361</v>
      </c>
      <c r="X9" s="60">
        <f>$T$6+6</f>
        <v>46362</v>
      </c>
      <c r="Z9" s="57">
        <f t="shared" si="0"/>
        <v>2</v>
      </c>
      <c r="AA9" s="57" t="str">
        <f>IFERROR(INDEX(Data!$B$7:$B$206,MATCH(ROW()-7,Data!$X$7:$X$206,0))&amp;"","")</f>
        <v>DT26-036</v>
      </c>
      <c r="AB9" s="58" t="str">
        <f>IFERROR(INDEX(Data!$C$7:$C$206,MATCH(ROW()-7,Data!$X$7:$X$206,0))&amp;"","")</f>
        <v>Kỹ năng viết email chuyên nghiệp</v>
      </c>
      <c r="AC9" s="57" t="str">
        <f>IFERROR(INDEX(Data!$D$7:$D$206,MATCH(ROW()-7,Data!$X$7:$X$206,0))&amp;"","")</f>
        <v>Soft Skill</v>
      </c>
      <c r="AD9" s="59">
        <f>IFERROR(INDEX(Data!$E$7:$E$206,MATCH(ROW()-7,Data!$X$7:$X$206,0)),"")</f>
        <v>46314</v>
      </c>
      <c r="AE9" s="59">
        <f>IFERROR(INDEX(Data!$F$7:$F$206,MATCH(ROW()-7,Data!$X$7:$X$206,0)),"")</f>
        <v>46316</v>
      </c>
      <c r="AF9" s="58" t="str">
        <f>IFERROR(INDEX(Data!$J$7:$J$206,MATCH(ROW()-7,Data!$X$7:$X$206,0))&amp;"","")</f>
        <v>Võ Minh Đức</v>
      </c>
      <c r="AG9" s="57" t="str">
        <f>IFERROR(INDEX(Data!$N$7:$N$206,MATCH(ROW()-7,Data!$X$7:$X$206,0))&amp;"","")</f>
        <v>Toàn công ty</v>
      </c>
      <c r="AH9" s="57" t="str">
        <f>IFERROR(INDEX(Data!$L$7:$L$206,MATCH(ROW()-7,Data!$X$7:$X$206,0))&amp;"","")</f>
        <v>Offline</v>
      </c>
      <c r="AI9" s="57" t="str">
        <f ca="1">IFERROR(INDEX(Data!$U$7:$U$206,MATCH(ROW()-7,Data!$X$7:$X$206,0))&amp;"","")</f>
        <v>Đang diễn ra</v>
      </c>
    </row>
    <row r="10" spans="1:36" ht="25.5" customHeight="1" x14ac:dyDescent="0.25">
      <c r="B10" s="60">
        <f>$D$6+7</f>
        <v>46300</v>
      </c>
      <c r="C10" s="60">
        <f>$D$6+8</f>
        <v>46301</v>
      </c>
      <c r="D10" s="60">
        <f>$D$6+9</f>
        <v>46302</v>
      </c>
      <c r="E10" s="60">
        <f>$D$6+10</f>
        <v>46303</v>
      </c>
      <c r="F10" s="60">
        <f>$D$6+11</f>
        <v>46304</v>
      </c>
      <c r="G10" s="60">
        <f>$D$6+12</f>
        <v>46305</v>
      </c>
      <c r="H10" s="60">
        <f>$D$6+13</f>
        <v>46306</v>
      </c>
      <c r="J10" s="60">
        <f>$L$6+7</f>
        <v>46328</v>
      </c>
      <c r="K10" s="60">
        <f>$L$6+8</f>
        <v>46329</v>
      </c>
      <c r="L10" s="60">
        <f>$L$6+9</f>
        <v>46330</v>
      </c>
      <c r="M10" s="60">
        <f>$L$6+10</f>
        <v>46331</v>
      </c>
      <c r="N10" s="60">
        <f>$L$6+11</f>
        <v>46332</v>
      </c>
      <c r="O10" s="60">
        <f>$L$6+12</f>
        <v>46333</v>
      </c>
      <c r="P10" s="60">
        <f>$L$6+13</f>
        <v>46334</v>
      </c>
      <c r="R10" s="60">
        <f>$T$6+7</f>
        <v>46363</v>
      </c>
      <c r="S10" s="60">
        <f>$T$6+8</f>
        <v>46364</v>
      </c>
      <c r="T10" s="60">
        <f>$T$6+9</f>
        <v>46365</v>
      </c>
      <c r="U10" s="60">
        <f>$T$6+10</f>
        <v>46366</v>
      </c>
      <c r="V10" s="60">
        <f>$T$6+11</f>
        <v>46367</v>
      </c>
      <c r="W10" s="60">
        <f>$T$6+12</f>
        <v>46368</v>
      </c>
      <c r="X10" s="60">
        <f>$T$6+13</f>
        <v>46369</v>
      </c>
      <c r="Z10" s="57">
        <f t="shared" si="0"/>
        <v>3</v>
      </c>
      <c r="AA10" s="57" t="str">
        <f>IFERROR(INDEX(Data!$B$7:$B$206,MATCH(ROW()-7,Data!$X$7:$X$206,0))&amp;"","")</f>
        <v>DT26-031</v>
      </c>
      <c r="AB10" s="58" t="str">
        <f>IFERROR(INDEX(Data!$C$7:$C$206,MATCH(ROW()-7,Data!$X$7:$X$206,0))&amp;"","")</f>
        <v>Thẩm định quy trình &amp; thiết bị</v>
      </c>
      <c r="AC10" s="57" t="str">
        <f>IFERROR(INDEX(Data!$D$7:$D$206,MATCH(ROW()-7,Data!$X$7:$X$206,0))&amp;"","")</f>
        <v>Compliance</v>
      </c>
      <c r="AD10" s="59">
        <f>IFERROR(INDEX(Data!$E$7:$E$206,MATCH(ROW()-7,Data!$X$7:$X$206,0)),"")</f>
        <v>46315</v>
      </c>
      <c r="AE10" s="59">
        <f>IFERROR(INDEX(Data!$F$7:$F$206,MATCH(ROW()-7,Data!$X$7:$X$206,0)),"")</f>
        <v>46317</v>
      </c>
      <c r="AF10" s="58" t="str">
        <f>IFERROR(INDEX(Data!$J$7:$J$206,MATCH(ROW()-7,Data!$X$7:$X$206,0))&amp;"","")</f>
        <v>Công ty ABC Training</v>
      </c>
      <c r="AG10" s="57" t="str">
        <f>IFERROR(INDEX(Data!$N$7:$N$206,MATCH(ROW()-7,Data!$X$7:$X$206,0))&amp;"","")</f>
        <v>QA/QC</v>
      </c>
      <c r="AH10" s="57" t="str">
        <f>IFERROR(INDEX(Data!$L$7:$L$206,MATCH(ROW()-7,Data!$X$7:$X$206,0))&amp;"","")</f>
        <v>Hybrid</v>
      </c>
      <c r="AI10" s="57" t="str">
        <f ca="1">IFERROR(INDEX(Data!$U$7:$U$206,MATCH(ROW()-7,Data!$X$7:$X$206,0))&amp;"","")</f>
        <v>Hủy</v>
      </c>
    </row>
    <row r="11" spans="1:36" ht="25.5" customHeight="1" x14ac:dyDescent="0.25">
      <c r="B11" s="60">
        <f>$D$6+14</f>
        <v>46307</v>
      </c>
      <c r="C11" s="60">
        <f>$D$6+15</f>
        <v>46308</v>
      </c>
      <c r="D11" s="60">
        <f>$D$6+16</f>
        <v>46309</v>
      </c>
      <c r="E11" s="60">
        <f>$D$6+17</f>
        <v>46310</v>
      </c>
      <c r="F11" s="60">
        <f>$D$6+18</f>
        <v>46311</v>
      </c>
      <c r="G11" s="60">
        <f>$D$6+19</f>
        <v>46312</v>
      </c>
      <c r="H11" s="60">
        <f>$D$6+20</f>
        <v>46313</v>
      </c>
      <c r="J11" s="60">
        <f>$L$6+14</f>
        <v>46335</v>
      </c>
      <c r="K11" s="60">
        <f>$L$6+15</f>
        <v>46336</v>
      </c>
      <c r="L11" s="60">
        <f>$L$6+16</f>
        <v>46337</v>
      </c>
      <c r="M11" s="60">
        <f>$L$6+17</f>
        <v>46338</v>
      </c>
      <c r="N11" s="60">
        <f>$L$6+18</f>
        <v>46339</v>
      </c>
      <c r="O11" s="60">
        <f>$L$6+19</f>
        <v>46340</v>
      </c>
      <c r="P11" s="60">
        <f>$L$6+20</f>
        <v>46341</v>
      </c>
      <c r="R11" s="60">
        <f>$T$6+14</f>
        <v>46370</v>
      </c>
      <c r="S11" s="60">
        <f>$T$6+15</f>
        <v>46371</v>
      </c>
      <c r="T11" s="60">
        <f>$T$6+16</f>
        <v>46372</v>
      </c>
      <c r="U11" s="60">
        <f>$T$6+17</f>
        <v>46373</v>
      </c>
      <c r="V11" s="60">
        <f>$T$6+18</f>
        <v>46374</v>
      </c>
      <c r="W11" s="60">
        <f>$T$6+19</f>
        <v>46375</v>
      </c>
      <c r="X11" s="60">
        <f>$T$6+20</f>
        <v>46376</v>
      </c>
      <c r="Z11" s="57">
        <f t="shared" si="0"/>
        <v>4</v>
      </c>
      <c r="AA11" s="57" t="str">
        <f>IFERROR(INDEX(Data!$B$7:$B$206,MATCH(ROW()-7,Data!$X$7:$X$206,0))&amp;"","")</f>
        <v>DT26-032</v>
      </c>
      <c r="AB11" s="58" t="str">
        <f>IFERROR(INDEX(Data!$C$7:$C$206,MATCH(ROW()-7,Data!$X$7:$X$206,0))&amp;"","")</f>
        <v>Kỹ năng phỏng vấn cho Hiring Manager</v>
      </c>
      <c r="AC11" s="57" t="str">
        <f>IFERROR(INDEX(Data!$D$7:$D$206,MATCH(ROW()-7,Data!$X$7:$X$206,0))&amp;"","")</f>
        <v>Leadership</v>
      </c>
      <c r="AD11" s="59">
        <f>IFERROR(INDEX(Data!$E$7:$E$206,MATCH(ROW()-7,Data!$X$7:$X$206,0)),"")</f>
        <v>46316</v>
      </c>
      <c r="AE11" s="59">
        <f>IFERROR(INDEX(Data!$F$7:$F$206,MATCH(ROW()-7,Data!$X$7:$X$206,0)),"")</f>
        <v>46316</v>
      </c>
      <c r="AF11" s="58" t="str">
        <f>IFERROR(INDEX(Data!$J$7:$J$206,MATCH(ROW()-7,Data!$X$7:$X$206,0))&amp;"","")</f>
        <v>Nguyễn Văn An</v>
      </c>
      <c r="AG11" s="57" t="str">
        <f>IFERROR(INDEX(Data!$N$7:$N$206,MATCH(ROW()-7,Data!$X$7:$X$206,0))&amp;"","")</f>
        <v>Toàn công ty</v>
      </c>
      <c r="AH11" s="57" t="str">
        <f>IFERROR(INDEX(Data!$L$7:$L$206,MATCH(ROW()-7,Data!$X$7:$X$206,0))&amp;"","")</f>
        <v>Offline</v>
      </c>
      <c r="AI11" s="57" t="str">
        <f ca="1">IFERROR(INDEX(Data!$U$7:$U$206,MATCH(ROW()-7,Data!$X$7:$X$206,0))&amp;"","")</f>
        <v>Sắp diễn ra</v>
      </c>
    </row>
    <row r="12" spans="1:36" ht="25.5" customHeight="1" x14ac:dyDescent="0.25">
      <c r="B12" s="60">
        <f>$D$6+21</f>
        <v>46314</v>
      </c>
      <c r="C12" s="60">
        <f>$D$6+22</f>
        <v>46315</v>
      </c>
      <c r="D12" s="60">
        <f>$D$6+23</f>
        <v>46316</v>
      </c>
      <c r="E12" s="60">
        <f>$D$6+24</f>
        <v>46317</v>
      </c>
      <c r="F12" s="60">
        <f>$D$6+25</f>
        <v>46318</v>
      </c>
      <c r="G12" s="60">
        <f>$D$6+26</f>
        <v>46319</v>
      </c>
      <c r="H12" s="60">
        <f>$D$6+27</f>
        <v>46320</v>
      </c>
      <c r="J12" s="60">
        <f>$L$6+21</f>
        <v>46342</v>
      </c>
      <c r="K12" s="60">
        <f>$L$6+22</f>
        <v>46343</v>
      </c>
      <c r="L12" s="60">
        <f>$L$6+23</f>
        <v>46344</v>
      </c>
      <c r="M12" s="60">
        <f>$L$6+24</f>
        <v>46345</v>
      </c>
      <c r="N12" s="60">
        <f>$L$6+25</f>
        <v>46346</v>
      </c>
      <c r="O12" s="60">
        <f>$L$6+26</f>
        <v>46347</v>
      </c>
      <c r="P12" s="60">
        <f>$L$6+27</f>
        <v>46348</v>
      </c>
      <c r="R12" s="60">
        <f>$T$6+21</f>
        <v>46377</v>
      </c>
      <c r="S12" s="60">
        <f>$T$6+22</f>
        <v>46378</v>
      </c>
      <c r="T12" s="60">
        <f>$T$6+23</f>
        <v>46379</v>
      </c>
      <c r="U12" s="60">
        <f>$T$6+24</f>
        <v>46380</v>
      </c>
      <c r="V12" s="60">
        <f>$T$6+25</f>
        <v>46381</v>
      </c>
      <c r="W12" s="60">
        <f>$T$6+26</f>
        <v>46382</v>
      </c>
      <c r="X12" s="60">
        <f>$T$6+27</f>
        <v>46383</v>
      </c>
      <c r="Z12" s="57">
        <f t="shared" si="0"/>
        <v>5</v>
      </c>
      <c r="AA12" s="57" t="str">
        <f>IFERROR(INDEX(Data!$B$7:$B$206,MATCH(ROW()-7,Data!$X$7:$X$206,0))&amp;"","")</f>
        <v>DT26-033</v>
      </c>
      <c r="AB12" s="58" t="str">
        <f>IFERROR(INDEX(Data!$C$7:$C$206,MATCH(ROW()-7,Data!$X$7:$X$206,0))&amp;"","")</f>
        <v>An toàn hóa chất phòng thí nghiệm</v>
      </c>
      <c r="AC12" s="57" t="str">
        <f>IFERROR(INDEX(Data!$D$7:$D$206,MATCH(ROW()-7,Data!$X$7:$X$206,0))&amp;"","")</f>
        <v>Compliance</v>
      </c>
      <c r="AD12" s="59">
        <f>IFERROR(INDEX(Data!$E$7:$E$206,MATCH(ROW()-7,Data!$X$7:$X$206,0)),"")</f>
        <v>46316</v>
      </c>
      <c r="AE12" s="59">
        <f>IFERROR(INDEX(Data!$F$7:$F$206,MATCH(ROW()-7,Data!$X$7:$X$206,0)),"")</f>
        <v>46316</v>
      </c>
      <c r="AF12" s="58" t="str">
        <f>IFERROR(INDEX(Data!$J$7:$J$206,MATCH(ROW()-7,Data!$X$7:$X$206,0))&amp;"","")</f>
        <v>Võ Minh Đức</v>
      </c>
      <c r="AG12" s="57" t="str">
        <f>IFERROR(INDEX(Data!$N$7:$N$206,MATCH(ROW()-7,Data!$X$7:$X$206,0))&amp;"","")</f>
        <v>QA/QC</v>
      </c>
      <c r="AH12" s="57" t="str">
        <f>IFERROR(INDEX(Data!$L$7:$L$206,MATCH(ROW()-7,Data!$X$7:$X$206,0))&amp;"","")</f>
        <v>Offline</v>
      </c>
      <c r="AI12" s="57" t="str">
        <f ca="1">IFERROR(INDEX(Data!$U$7:$U$206,MATCH(ROW()-7,Data!$X$7:$X$206,0))&amp;"","")</f>
        <v>Sắp diễn ra</v>
      </c>
    </row>
    <row r="13" spans="1:36" ht="25.5" customHeight="1" x14ac:dyDescent="0.25">
      <c r="B13" s="60">
        <f>$D$6+28</f>
        <v>46321</v>
      </c>
      <c r="C13" s="60">
        <f>$D$6+29</f>
        <v>46322</v>
      </c>
      <c r="D13" s="60">
        <f>$D$6+30</f>
        <v>46323</v>
      </c>
      <c r="E13" s="60">
        <f>$D$6+31</f>
        <v>46324</v>
      </c>
      <c r="F13" s="60">
        <f>$D$6+32</f>
        <v>46325</v>
      </c>
      <c r="G13" s="60">
        <f>$D$6+33</f>
        <v>46326</v>
      </c>
      <c r="H13" s="60">
        <f>$D$6+34</f>
        <v>46327</v>
      </c>
      <c r="J13" s="60">
        <f>$L$6+28</f>
        <v>46349</v>
      </c>
      <c r="K13" s="60">
        <f>$L$6+29</f>
        <v>46350</v>
      </c>
      <c r="L13" s="60">
        <f>$L$6+30</f>
        <v>46351</v>
      </c>
      <c r="M13" s="60">
        <f>$L$6+31</f>
        <v>46352</v>
      </c>
      <c r="N13" s="60">
        <f>$L$6+32</f>
        <v>46353</v>
      </c>
      <c r="O13" s="60">
        <f>$L$6+33</f>
        <v>46354</v>
      </c>
      <c r="P13" s="60">
        <f>$L$6+34</f>
        <v>46355</v>
      </c>
      <c r="R13" s="60">
        <f>$T$6+28</f>
        <v>46384</v>
      </c>
      <c r="S13" s="60">
        <f>$T$6+29</f>
        <v>46385</v>
      </c>
      <c r="T13" s="60">
        <f>$T$6+30</f>
        <v>46386</v>
      </c>
      <c r="U13" s="60">
        <f>$T$6+31</f>
        <v>46387</v>
      </c>
      <c r="V13" s="60">
        <f>$T$6+32</f>
        <v>46388</v>
      </c>
      <c r="W13" s="60">
        <f>$T$6+33</f>
        <v>46389</v>
      </c>
      <c r="X13" s="60">
        <f>$T$6+34</f>
        <v>46390</v>
      </c>
      <c r="Z13" s="57">
        <f t="shared" si="0"/>
        <v>6</v>
      </c>
      <c r="AA13" s="57" t="str">
        <f>IFERROR(INDEX(Data!$B$7:$B$206,MATCH(ROW()-7,Data!$X$7:$X$206,0))&amp;"","")</f>
        <v>DT26-034</v>
      </c>
      <c r="AB13" s="58" t="str">
        <f>IFERROR(INDEX(Data!$C$7:$C$206,MATCH(ROW()-7,Data!$X$7:$X$206,0))&amp;"","")</f>
        <v>Hội nhập nhân viên mới – Đợt 5</v>
      </c>
      <c r="AC13" s="57" t="str">
        <f>IFERROR(INDEX(Data!$D$7:$D$206,MATCH(ROW()-7,Data!$X$7:$X$206,0))&amp;"","")</f>
        <v>Hội nhập</v>
      </c>
      <c r="AD13" s="59">
        <f>IFERROR(INDEX(Data!$E$7:$E$206,MATCH(ROW()-7,Data!$X$7:$X$206,0)),"")</f>
        <v>46351</v>
      </c>
      <c r="AE13" s="59">
        <f>IFERROR(INDEX(Data!$F$7:$F$206,MATCH(ROW()-7,Data!$X$7:$X$206,0)),"")</f>
        <v>46351</v>
      </c>
      <c r="AF13" s="58" t="str">
        <f>IFERROR(INDEX(Data!$J$7:$J$206,MATCH(ROW()-7,Data!$X$7:$X$206,0))&amp;"","")</f>
        <v>Võ Minh Đức</v>
      </c>
      <c r="AG13" s="57" t="str">
        <f>IFERROR(INDEX(Data!$N$7:$N$206,MATCH(ROW()-7,Data!$X$7:$X$206,0))&amp;"","")</f>
        <v>Toàn công ty</v>
      </c>
      <c r="AH13" s="57" t="str">
        <f>IFERROR(INDEX(Data!$L$7:$L$206,MATCH(ROW()-7,Data!$X$7:$X$206,0))&amp;"","")</f>
        <v>Hybrid</v>
      </c>
      <c r="AI13" s="57" t="str">
        <f ca="1">IFERROR(INDEX(Data!$U$7:$U$206,MATCH(ROW()-7,Data!$X$7:$X$206,0))&amp;"","")</f>
        <v>Sắp diễn ra</v>
      </c>
    </row>
    <row r="14" spans="1:36" ht="25.5" customHeight="1" x14ac:dyDescent="0.25">
      <c r="B14" s="60">
        <f>$D$6+35</f>
        <v>46328</v>
      </c>
      <c r="C14" s="60">
        <f>$D$6+36</f>
        <v>46329</v>
      </c>
      <c r="D14" s="60">
        <f>$D$6+37</f>
        <v>46330</v>
      </c>
      <c r="E14" s="60">
        <f>$D$6+38</f>
        <v>46331</v>
      </c>
      <c r="F14" s="60">
        <f>$D$6+39</f>
        <v>46332</v>
      </c>
      <c r="G14" s="60">
        <f>$D$6+40</f>
        <v>46333</v>
      </c>
      <c r="H14" s="60">
        <f>$D$6+41</f>
        <v>46334</v>
      </c>
      <c r="J14" s="60">
        <f>$L$6+35</f>
        <v>46356</v>
      </c>
      <c r="K14" s="60">
        <f>$L$6+36</f>
        <v>46357</v>
      </c>
      <c r="L14" s="60">
        <f>$L$6+37</f>
        <v>46358</v>
      </c>
      <c r="M14" s="60">
        <f>$L$6+38</f>
        <v>46359</v>
      </c>
      <c r="N14" s="60">
        <f>$L$6+39</f>
        <v>46360</v>
      </c>
      <c r="O14" s="60">
        <f>$L$6+40</f>
        <v>46361</v>
      </c>
      <c r="P14" s="60">
        <f>$L$6+41</f>
        <v>46362</v>
      </c>
      <c r="R14" s="60">
        <f>$T$6+35</f>
        <v>46391</v>
      </c>
      <c r="S14" s="60">
        <f>$T$6+36</f>
        <v>46392</v>
      </c>
      <c r="T14" s="60">
        <f>$T$6+37</f>
        <v>46393</v>
      </c>
      <c r="U14" s="60">
        <f>$T$6+38</f>
        <v>46394</v>
      </c>
      <c r="V14" s="60">
        <f>$T$6+39</f>
        <v>46395</v>
      </c>
      <c r="W14" s="60">
        <f>$T$6+40</f>
        <v>46396</v>
      </c>
      <c r="X14" s="60">
        <f>$T$6+41</f>
        <v>46397</v>
      </c>
      <c r="Z14" s="57">
        <f t="shared" si="0"/>
        <v>7</v>
      </c>
      <c r="AA14" s="57" t="str">
        <f>IFERROR(INDEX(Data!$B$7:$B$206,MATCH(ROW()-7,Data!$X$7:$X$206,0))&amp;"","")</f>
        <v>DT26-035</v>
      </c>
      <c r="AB14" s="58" t="str">
        <f>IFERROR(INDEX(Data!$C$7:$C$206,MATCH(ROW()-7,Data!$X$7:$X$206,0))&amp;"","")</f>
        <v>Quản lý dự án Agile</v>
      </c>
      <c r="AC14" s="57" t="str">
        <f>IFERROR(INDEX(Data!$D$7:$D$206,MATCH(ROW()-7,Data!$X$7:$X$206,0))&amp;"","")</f>
        <v>Technical</v>
      </c>
      <c r="AD14" s="59">
        <f>IFERROR(INDEX(Data!$E$7:$E$206,MATCH(ROW()-7,Data!$X$7:$X$206,0)),"")</f>
        <v>46351</v>
      </c>
      <c r="AE14" s="59">
        <f>IFERROR(INDEX(Data!$F$7:$F$206,MATCH(ROW()-7,Data!$X$7:$X$206,0)),"")</f>
        <v>46351</v>
      </c>
      <c r="AF14" s="58" t="str">
        <f>IFERROR(INDEX(Data!$J$7:$J$206,MATCH(ROW()-7,Data!$X$7:$X$206,0))&amp;"","")</f>
        <v>Viện Kiểm nghiệm</v>
      </c>
      <c r="AG14" s="57" t="str">
        <f>IFERROR(INDEX(Data!$N$7:$N$206,MATCH(ROW()-7,Data!$X$7:$X$206,0))&amp;"","")</f>
        <v>IT</v>
      </c>
      <c r="AH14" s="57" t="str">
        <f>IFERROR(INDEX(Data!$L$7:$L$206,MATCH(ROW()-7,Data!$X$7:$X$206,0))&amp;"","")</f>
        <v>Offline</v>
      </c>
      <c r="AI14" s="57" t="str">
        <f ca="1">IFERROR(INDEX(Data!$U$7:$U$206,MATCH(ROW()-7,Data!$X$7:$X$206,0))&amp;"","")</f>
        <v>Sắp diễn ra</v>
      </c>
    </row>
    <row r="15" spans="1:36" ht="19.5" customHeight="1" x14ac:dyDescent="0.25">
      <c r="Z15" s="57">
        <f t="shared" si="0"/>
        <v>8</v>
      </c>
      <c r="AA15" s="57" t="str">
        <f>IFERROR(INDEX(Data!$B$7:$B$206,MATCH(ROW()-7,Data!$X$7:$X$206,0))&amp;"","")</f>
        <v>DT26-037</v>
      </c>
      <c r="AB15" s="58" t="str">
        <f>IFERROR(INDEX(Data!$C$7:$C$206,MATCH(ROW()-7,Data!$X$7:$X$206,0))&amp;"","")</f>
        <v>Tổng kết &amp; lập kế hoạch đào tạo 2027</v>
      </c>
      <c r="AC15" s="57" t="str">
        <f>IFERROR(INDEX(Data!$D$7:$D$206,MATCH(ROW()-7,Data!$X$7:$X$206,0))&amp;"","")</f>
        <v>Leadership</v>
      </c>
      <c r="AD15" s="59">
        <f>IFERROR(INDEX(Data!$E$7:$E$206,MATCH(ROW()-7,Data!$X$7:$X$206,0)),"")</f>
        <v>46365</v>
      </c>
      <c r="AE15" s="59">
        <f>IFERROR(INDEX(Data!$F$7:$F$206,MATCH(ROW()-7,Data!$X$7:$X$206,0)),"")</f>
        <v>46365</v>
      </c>
      <c r="AF15" s="58" t="str">
        <f>IFERROR(INDEX(Data!$J$7:$J$206,MATCH(ROW()-7,Data!$X$7:$X$206,0))&amp;"","")</f>
        <v>Trần Thị Bình</v>
      </c>
      <c r="AG15" s="57" t="str">
        <f>IFERROR(INDEX(Data!$N$7:$N$206,MATCH(ROW()-7,Data!$X$7:$X$206,0))&amp;"","")</f>
        <v>Ban Giám đốc</v>
      </c>
      <c r="AH15" s="57" t="str">
        <f>IFERROR(INDEX(Data!$L$7:$L$206,MATCH(ROW()-7,Data!$X$7:$X$206,0))&amp;"","")</f>
        <v>Offline</v>
      </c>
      <c r="AI15" s="57" t="str">
        <f ca="1">IFERROR(INDEX(Data!$U$7:$U$206,MATCH(ROW()-7,Data!$X$7:$X$206,0))&amp;"","")</f>
        <v>Sắp diễn ra</v>
      </c>
    </row>
    <row r="16" spans="1:36" ht="24" customHeight="1" x14ac:dyDescent="0.25">
      <c r="B16" s="7" t="str">
        <f>"TỔNG QUAN QUÝ "&amp;$W$2&amp;" / "&amp;$T$2</f>
        <v>TỔNG QUAN QUÝ 4 / 2026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Z16" s="57">
        <f t="shared" si="0"/>
        <v>9</v>
      </c>
      <c r="AA16" s="57" t="str">
        <f>IFERROR(INDEX(Data!$B$7:$B$206,MATCH(ROW()-7,Data!$X$7:$X$206,0))&amp;"","")</f>
        <v>DT26-038</v>
      </c>
      <c r="AB16" s="58" t="str">
        <f>IFERROR(INDEX(Data!$C$7:$C$206,MATCH(ROW()-7,Data!$X$7:$X$206,0))&amp;"","")</f>
        <v>Phân tích tài chính cho quản lý</v>
      </c>
      <c r="AC16" s="57" t="str">
        <f>IFERROR(INDEX(Data!$D$7:$D$206,MATCH(ROW()-7,Data!$X$7:$X$206,0))&amp;"","")</f>
        <v>Technical</v>
      </c>
      <c r="AD16" s="59">
        <f>IFERROR(INDEX(Data!$E$7:$E$206,MATCH(ROW()-7,Data!$X$7:$X$206,0)),"")</f>
        <v>46384</v>
      </c>
      <c r="AE16" s="59">
        <f>IFERROR(INDEX(Data!$F$7:$F$206,MATCH(ROW()-7,Data!$X$7:$X$206,0)),"")</f>
        <v>46385</v>
      </c>
      <c r="AF16" s="58" t="str">
        <f>IFERROR(INDEX(Data!$J$7:$J$206,MATCH(ROW()-7,Data!$X$7:$X$206,0))&amp;"","")</f>
        <v>Công ty ABC Training</v>
      </c>
      <c r="AG16" s="57" t="str">
        <f>IFERROR(INDEX(Data!$N$7:$N$206,MATCH(ROW()-7,Data!$X$7:$X$206,0))&amp;"","")</f>
        <v>Ban Giám đốc</v>
      </c>
      <c r="AH16" s="57" t="str">
        <f>IFERROR(INDEX(Data!$L$7:$L$206,MATCH(ROW()-7,Data!$X$7:$X$206,0))&amp;"","")</f>
        <v>Hybrid</v>
      </c>
      <c r="AI16" s="57" t="str">
        <f ca="1">IFERROR(INDEX(Data!$U$7:$U$206,MATCH(ROW()-7,Data!$X$7:$X$206,0))&amp;"","")</f>
        <v>Sắp diễn ra</v>
      </c>
    </row>
    <row r="17" spans="2:35" ht="21.75" customHeight="1" x14ac:dyDescent="0.25">
      <c r="B17" s="102" t="s">
        <v>78</v>
      </c>
      <c r="C17" s="102"/>
      <c r="D17" s="102"/>
      <c r="E17" s="102"/>
      <c r="F17" s="102"/>
      <c r="H17" s="103" t="s">
        <v>79</v>
      </c>
      <c r="I17" s="103"/>
      <c r="J17" s="103"/>
      <c r="K17" s="103"/>
      <c r="L17" s="103"/>
      <c r="N17" s="104" t="s">
        <v>6</v>
      </c>
      <c r="O17" s="104"/>
      <c r="P17" s="104"/>
      <c r="Q17" s="104"/>
      <c r="R17" s="104"/>
      <c r="T17" s="112" t="s">
        <v>80</v>
      </c>
      <c r="U17" s="112"/>
      <c r="V17" s="112"/>
      <c r="W17" s="112"/>
      <c r="X17" s="112"/>
      <c r="Z17" s="57" t="str">
        <f t="shared" si="0"/>
        <v/>
      </c>
      <c r="AA17" s="57" t="str">
        <f>IFERROR(INDEX(Data!$B$7:$B$206,MATCH(ROW()-7,Data!$X$7:$X$206,0))&amp;"","")</f>
        <v/>
      </c>
      <c r="AB17" s="58" t="str">
        <f>IFERROR(INDEX(Data!$C$7:$C$206,MATCH(ROW()-7,Data!$X$7:$X$206,0))&amp;"","")</f>
        <v/>
      </c>
      <c r="AC17" s="57" t="str">
        <f>IFERROR(INDEX(Data!$D$7:$D$206,MATCH(ROW()-7,Data!$X$7:$X$206,0))&amp;"","")</f>
        <v/>
      </c>
      <c r="AD17" s="59" t="str">
        <f>IFERROR(INDEX(Data!$E$7:$E$206,MATCH(ROW()-7,Data!$X$7:$X$206,0)),"")</f>
        <v/>
      </c>
      <c r="AE17" s="59" t="str">
        <f>IFERROR(INDEX(Data!$F$7:$F$206,MATCH(ROW()-7,Data!$X$7:$X$206,0)),"")</f>
        <v/>
      </c>
      <c r="AF17" s="58" t="str">
        <f>IFERROR(INDEX(Data!$J$7:$J$206,MATCH(ROW()-7,Data!$X$7:$X$206,0))&amp;"","")</f>
        <v/>
      </c>
      <c r="AG17" s="57" t="str">
        <f>IFERROR(INDEX(Data!$N$7:$N$206,MATCH(ROW()-7,Data!$X$7:$X$206,0))&amp;"","")</f>
        <v/>
      </c>
      <c r="AH17" s="57" t="str">
        <f>IFERROR(INDEX(Data!$L$7:$L$206,MATCH(ROW()-7,Data!$X$7:$X$206,0))&amp;"","")</f>
        <v/>
      </c>
      <c r="AI17" s="57" t="str">
        <f>IFERROR(INDEX(Data!$U$7:$U$206,MATCH(ROW()-7,Data!$X$7:$X$206,0))&amp;"","")</f>
        <v/>
      </c>
    </row>
    <row r="18" spans="2:35" ht="30" customHeight="1" x14ac:dyDescent="0.25">
      <c r="B18" s="105">
        <f>COUNTIFS(Data!$W$7:$W$206,$T$2,Data!$V$7:$V$206,"Q"&amp;$W$2,Data!$T$7:$T$206,"")</f>
        <v>8</v>
      </c>
      <c r="C18" s="105"/>
      <c r="D18" s="105"/>
      <c r="E18" s="105"/>
      <c r="F18" s="105"/>
      <c r="H18" s="108">
        <f>SUMIFS(Data!$I$7:$I$206,Data!$W$7:$W$206,$T$2,Data!$V$7:$V$206,"Q"&amp;$W$2,Data!$T$7:$T$206,"")</f>
        <v>56</v>
      </c>
      <c r="I18" s="108"/>
      <c r="J18" s="108"/>
      <c r="K18" s="108"/>
      <c r="L18" s="108"/>
      <c r="N18" s="108">
        <f>SUMIFS(Data!$P$7:$P$206,Data!$W$7:$W$206,$T$2,Data!$V$7:$V$206,"Q"&amp;$W$2,Data!$T$7:$T$206,"")</f>
        <v>24</v>
      </c>
      <c r="O18" s="108"/>
      <c r="P18" s="108"/>
      <c r="Q18" s="108"/>
      <c r="R18" s="108"/>
      <c r="T18" s="124">
        <f>SUMIFS(Data!$R$7:$R$206,Data!$W$7:$W$206,$T$2,Data!$V$7:$V$206,"Q"&amp;$W$2,Data!$T$7:$T$206,"")</f>
        <v>48000000</v>
      </c>
      <c r="U18" s="124"/>
      <c r="V18" s="124"/>
      <c r="W18" s="124"/>
      <c r="X18" s="124"/>
      <c r="Z18" s="57" t="str">
        <f t="shared" si="0"/>
        <v/>
      </c>
      <c r="AA18" s="57" t="str">
        <f>IFERROR(INDEX(Data!$B$7:$B$206,MATCH(ROW()-7,Data!$X$7:$X$206,0))&amp;"","")</f>
        <v/>
      </c>
      <c r="AB18" s="58" t="str">
        <f>IFERROR(INDEX(Data!$C$7:$C$206,MATCH(ROW()-7,Data!$X$7:$X$206,0))&amp;"","")</f>
        <v/>
      </c>
      <c r="AC18" s="57" t="str">
        <f>IFERROR(INDEX(Data!$D$7:$D$206,MATCH(ROW()-7,Data!$X$7:$X$206,0))&amp;"","")</f>
        <v/>
      </c>
      <c r="AD18" s="59" t="str">
        <f>IFERROR(INDEX(Data!$E$7:$E$206,MATCH(ROW()-7,Data!$X$7:$X$206,0)),"")</f>
        <v/>
      </c>
      <c r="AE18" s="59" t="str">
        <f>IFERROR(INDEX(Data!$F$7:$F$206,MATCH(ROW()-7,Data!$X$7:$X$206,0)),"")</f>
        <v/>
      </c>
      <c r="AF18" s="58" t="str">
        <f>IFERROR(INDEX(Data!$J$7:$J$206,MATCH(ROW()-7,Data!$X$7:$X$206,0))&amp;"","")</f>
        <v/>
      </c>
      <c r="AG18" s="57" t="str">
        <f>IFERROR(INDEX(Data!$N$7:$N$206,MATCH(ROW()-7,Data!$X$7:$X$206,0))&amp;"","")</f>
        <v/>
      </c>
      <c r="AH18" s="57" t="str">
        <f>IFERROR(INDEX(Data!$L$7:$L$206,MATCH(ROW()-7,Data!$X$7:$X$206,0))&amp;"","")</f>
        <v/>
      </c>
      <c r="AI18" s="57" t="str">
        <f>IFERROR(INDEX(Data!$U$7:$U$206,MATCH(ROW()-7,Data!$X$7:$X$206,0))&amp;"","")</f>
        <v/>
      </c>
    </row>
    <row r="19" spans="2:35" ht="18" customHeight="1" x14ac:dyDescent="0.25">
      <c r="B19" s="109" t="str">
        <f ca="1">"Hoàn thành "&amp;COUNTIFS(Data!$W$7:$W$206,$T$2,Data!$V$7:$V$206,"Q"&amp;$W$2,Data!$T$7:$T$206,"",Data!$U$7:$U$206,"Đã hoàn thành")&amp;" | Hủy/Hoãn "&amp;COUNTIFS(Data!$W$7:$W$206,$T$2,Data!$V$7:$V$206,"Q"&amp;$W$2,Data!$T$7:$T$206,"&lt;&gt;")</f>
        <v>Hoàn thành 1 | Hủy/Hoãn 1</v>
      </c>
      <c r="C19" s="109"/>
      <c r="D19" s="109"/>
      <c r="E19" s="109"/>
      <c r="F19" s="109"/>
      <c r="H19" s="109" t="str">
        <f>"Giờ-người: "&amp;TEXT(SUMIFS(Data!$Z$7:$Z$206,Data!$W$7:$W$206,$T$2,Data!$V$7:$V$206,"Q"&amp;$W$2,Data!$T$7:$T$206,""),"#,##0")</f>
        <v>Giờ-người: 96</v>
      </c>
      <c r="I19" s="109"/>
      <c r="J19" s="109"/>
      <c r="K19" s="109"/>
      <c r="L19" s="109"/>
      <c r="N19" s="109" t="str">
        <f>"Kế hoạch: "&amp;TEXT(SUMIFS(Data!$O$7:$O$206,Data!$W$7:$W$206,$T$2,Data!$V$7:$V$206,"Q"&amp;$W$2,Data!$T$7:$T$206,""),"#,##0")&amp;" lượt"</f>
        <v>Kế hoạch: 192 lượt</v>
      </c>
      <c r="O19" s="109"/>
      <c r="P19" s="109"/>
      <c r="Q19" s="109"/>
      <c r="R19" s="109"/>
      <c r="T19" s="109" t="str">
        <f>"Thuê ngoài: "&amp;TEXT(SUMIFS(Data!$R$7:$R$206,Data!$W$7:$W$206,$T$2,Data!$V$7:$V$206,"Q"&amp;$W$2,Data!$T$7:$T$206,"",Data!$K$7:$K$206,"Thuê ngoài")/1000000,"#,##0.0")&amp;" tr"</f>
        <v>Thuê ngoài: 47.0 tr</v>
      </c>
      <c r="U19" s="109"/>
      <c r="V19" s="109"/>
      <c r="W19" s="109"/>
      <c r="X19" s="109"/>
      <c r="Z19" s="57" t="str">
        <f t="shared" si="0"/>
        <v/>
      </c>
      <c r="AA19" s="57" t="str">
        <f>IFERROR(INDEX(Data!$B$7:$B$206,MATCH(ROW()-7,Data!$X$7:$X$206,0))&amp;"","")</f>
        <v/>
      </c>
      <c r="AB19" s="58" t="str">
        <f>IFERROR(INDEX(Data!$C$7:$C$206,MATCH(ROW()-7,Data!$X$7:$X$206,0))&amp;"","")</f>
        <v/>
      </c>
      <c r="AC19" s="57" t="str">
        <f>IFERROR(INDEX(Data!$D$7:$D$206,MATCH(ROW()-7,Data!$X$7:$X$206,0))&amp;"","")</f>
        <v/>
      </c>
      <c r="AD19" s="59" t="str">
        <f>IFERROR(INDEX(Data!$E$7:$E$206,MATCH(ROW()-7,Data!$X$7:$X$206,0)),"")</f>
        <v/>
      </c>
      <c r="AE19" s="59" t="str">
        <f>IFERROR(INDEX(Data!$F$7:$F$206,MATCH(ROW()-7,Data!$X$7:$X$206,0)),"")</f>
        <v/>
      </c>
      <c r="AF19" s="58" t="str">
        <f>IFERROR(INDEX(Data!$J$7:$J$206,MATCH(ROW()-7,Data!$X$7:$X$206,0))&amp;"","")</f>
        <v/>
      </c>
      <c r="AG19" s="57" t="str">
        <f>IFERROR(INDEX(Data!$N$7:$N$206,MATCH(ROW()-7,Data!$X$7:$X$206,0))&amp;"","")</f>
        <v/>
      </c>
      <c r="AH19" s="57" t="str">
        <f>IFERROR(INDEX(Data!$L$7:$L$206,MATCH(ROW()-7,Data!$X$7:$X$206,0))&amp;"","")</f>
        <v/>
      </c>
      <c r="AI19" s="57" t="str">
        <f>IFERROR(INDEX(Data!$U$7:$U$206,MATCH(ROW()-7,Data!$X$7:$X$206,0))&amp;"","")</f>
        <v/>
      </c>
    </row>
    <row r="20" spans="2:35" ht="7.5" customHeight="1" x14ac:dyDescent="0.25">
      <c r="Z20" s="57" t="str">
        <f t="shared" si="0"/>
        <v/>
      </c>
      <c r="AA20" s="57" t="str">
        <f>IFERROR(INDEX(Data!$B$7:$B$206,MATCH(ROW()-7,Data!$X$7:$X$206,0))&amp;"","")</f>
        <v/>
      </c>
      <c r="AB20" s="58" t="str">
        <f>IFERROR(INDEX(Data!$C$7:$C$206,MATCH(ROW()-7,Data!$X$7:$X$206,0))&amp;"","")</f>
        <v/>
      </c>
      <c r="AC20" s="57" t="str">
        <f>IFERROR(INDEX(Data!$D$7:$D$206,MATCH(ROW()-7,Data!$X$7:$X$206,0))&amp;"","")</f>
        <v/>
      </c>
      <c r="AD20" s="59" t="str">
        <f>IFERROR(INDEX(Data!$E$7:$E$206,MATCH(ROW()-7,Data!$X$7:$X$206,0)),"")</f>
        <v/>
      </c>
      <c r="AE20" s="59" t="str">
        <f>IFERROR(INDEX(Data!$F$7:$F$206,MATCH(ROW()-7,Data!$X$7:$X$206,0)),"")</f>
        <v/>
      </c>
      <c r="AF20" s="58" t="str">
        <f>IFERROR(INDEX(Data!$J$7:$J$206,MATCH(ROW()-7,Data!$X$7:$X$206,0))&amp;"","")</f>
        <v/>
      </c>
      <c r="AG20" s="57" t="str">
        <f>IFERROR(INDEX(Data!$N$7:$N$206,MATCH(ROW()-7,Data!$X$7:$X$206,0))&amp;"","")</f>
        <v/>
      </c>
      <c r="AH20" s="57" t="str">
        <f>IFERROR(INDEX(Data!$L$7:$L$206,MATCH(ROW()-7,Data!$X$7:$X$206,0))&amp;"","")</f>
        <v/>
      </c>
      <c r="AI20" s="57" t="str">
        <f>IFERROR(INDEX(Data!$U$7:$U$206,MATCH(ROW()-7,Data!$X$7:$X$206,0))&amp;"","")</f>
        <v/>
      </c>
    </row>
    <row r="21" spans="2:35" ht="21.75" customHeight="1" x14ac:dyDescent="0.25">
      <c r="B21" s="110" t="s">
        <v>7</v>
      </c>
      <c r="C21" s="110"/>
      <c r="D21" s="110"/>
      <c r="E21" s="110"/>
      <c r="F21" s="110"/>
      <c r="H21" s="111" t="s">
        <v>81</v>
      </c>
      <c r="I21" s="111"/>
      <c r="J21" s="111"/>
      <c r="K21" s="111"/>
      <c r="L21" s="111"/>
      <c r="N21" s="103" t="s">
        <v>82</v>
      </c>
      <c r="O21" s="103"/>
      <c r="P21" s="103"/>
      <c r="Q21" s="103"/>
      <c r="R21" s="103"/>
      <c r="T21" s="125" t="s">
        <v>83</v>
      </c>
      <c r="U21" s="125"/>
      <c r="V21" s="125"/>
      <c r="W21" s="125"/>
      <c r="X21" s="125"/>
      <c r="Z21" s="57" t="str">
        <f t="shared" si="0"/>
        <v/>
      </c>
      <c r="AA21" s="57" t="str">
        <f>IFERROR(INDEX(Data!$B$7:$B$206,MATCH(ROW()-7,Data!$X$7:$X$206,0))&amp;"","")</f>
        <v/>
      </c>
      <c r="AB21" s="58" t="str">
        <f>IFERROR(INDEX(Data!$C$7:$C$206,MATCH(ROW()-7,Data!$X$7:$X$206,0))&amp;"","")</f>
        <v/>
      </c>
      <c r="AC21" s="57" t="str">
        <f>IFERROR(INDEX(Data!$D$7:$D$206,MATCH(ROW()-7,Data!$X$7:$X$206,0))&amp;"","")</f>
        <v/>
      </c>
      <c r="AD21" s="59" t="str">
        <f>IFERROR(INDEX(Data!$E$7:$E$206,MATCH(ROW()-7,Data!$X$7:$X$206,0)),"")</f>
        <v/>
      </c>
      <c r="AE21" s="59" t="str">
        <f>IFERROR(INDEX(Data!$F$7:$F$206,MATCH(ROW()-7,Data!$X$7:$X$206,0)),"")</f>
        <v/>
      </c>
      <c r="AF21" s="58" t="str">
        <f>IFERROR(INDEX(Data!$J$7:$J$206,MATCH(ROW()-7,Data!$X$7:$X$206,0))&amp;"","")</f>
        <v/>
      </c>
      <c r="AG21" s="57" t="str">
        <f>IFERROR(INDEX(Data!$N$7:$N$206,MATCH(ROW()-7,Data!$X$7:$X$206,0))&amp;"","")</f>
        <v/>
      </c>
      <c r="AH21" s="57" t="str">
        <f>IFERROR(INDEX(Data!$L$7:$L$206,MATCH(ROW()-7,Data!$X$7:$X$206,0))&amp;"","")</f>
        <v/>
      </c>
      <c r="AI21" s="57" t="str">
        <f>IFERROR(INDEX(Data!$U$7:$U$206,MATCH(ROW()-7,Data!$X$7:$X$206,0))&amp;"","")</f>
        <v/>
      </c>
    </row>
    <row r="22" spans="2:35" ht="30" customHeight="1" x14ac:dyDescent="0.25">
      <c r="B22" s="106">
        <f ca="1">IFERROR(SUMIFS(Data!$P$7:$P$206,Data!$W$7:$W$206,$T$2,Data!$V$7:$V$206,"Q"&amp;$W$2,Data!$T$7:$T$206,"",Data!$U$7:$U$206,"Đã hoàn thành")/SUMIFS(Data!$O$7:$O$206,Data!$W$7:$W$206,$T$2,Data!$V$7:$V$206,"Q"&amp;$W$2,Data!$T$7:$T$206,"",Data!$U$7:$U$206,"Đã hoàn thành"),"-")</f>
        <v>0.96</v>
      </c>
      <c r="C22" s="106"/>
      <c r="D22" s="106"/>
      <c r="E22" s="106"/>
      <c r="F22" s="106"/>
      <c r="H22" s="107">
        <f>IFERROR(AVERAGEIFS(Data!$S$7:$S$206,Data!$W$7:$W$206,$T$2,Data!$V$7:$V$206,"Q"&amp;$W$2,Data!$T$7:$T$206,""),"-")</f>
        <v>4.2</v>
      </c>
      <c r="I22" s="107"/>
      <c r="J22" s="107"/>
      <c r="K22" s="107"/>
      <c r="L22" s="107"/>
      <c r="N22" s="105">
        <f ca="1">COUNTIFS(Data!$W$7:$W$206,$T$2,Data!$V$7:$V$206,"Q"&amp;$W$2,Data!$T$7:$T$206,"",Data!$U$7:$U$206,"Đang diễn ra")+COUNTIFS(Data!$W$7:$W$206,$T$2,Data!$V$7:$V$206,"Q"&amp;$W$2,Data!$T$7:$T$206,"",Data!$U$7:$U$206,"Sắp diễn ra")</f>
        <v>7</v>
      </c>
      <c r="O22" s="105"/>
      <c r="P22" s="105"/>
      <c r="Q22" s="105"/>
      <c r="R22" s="105"/>
      <c r="T22" s="105">
        <f>SUMIFS(Data!$G$7:$G$206,Data!$W$7:$W$206,$T$2,Data!$V$7:$V$206,"Q"&amp;$W$2,Data!$T$7:$T$206,"")</f>
        <v>11</v>
      </c>
      <c r="U22" s="105"/>
      <c r="V22" s="105"/>
      <c r="W22" s="105"/>
      <c r="X22" s="105"/>
      <c r="Z22" s="57" t="str">
        <f t="shared" si="0"/>
        <v/>
      </c>
      <c r="AA22" s="57" t="str">
        <f>IFERROR(INDEX(Data!$B$7:$B$206,MATCH(ROW()-7,Data!$X$7:$X$206,0))&amp;"","")</f>
        <v/>
      </c>
      <c r="AB22" s="58" t="str">
        <f>IFERROR(INDEX(Data!$C$7:$C$206,MATCH(ROW()-7,Data!$X$7:$X$206,0))&amp;"","")</f>
        <v/>
      </c>
      <c r="AC22" s="57" t="str">
        <f>IFERROR(INDEX(Data!$D$7:$D$206,MATCH(ROW()-7,Data!$X$7:$X$206,0))&amp;"","")</f>
        <v/>
      </c>
      <c r="AD22" s="59" t="str">
        <f>IFERROR(INDEX(Data!$E$7:$E$206,MATCH(ROW()-7,Data!$X$7:$X$206,0)),"")</f>
        <v/>
      </c>
      <c r="AE22" s="59" t="str">
        <f>IFERROR(INDEX(Data!$F$7:$F$206,MATCH(ROW()-7,Data!$X$7:$X$206,0)),"")</f>
        <v/>
      </c>
      <c r="AF22" s="58" t="str">
        <f>IFERROR(INDEX(Data!$J$7:$J$206,MATCH(ROW()-7,Data!$X$7:$X$206,0))&amp;"","")</f>
        <v/>
      </c>
      <c r="AG22" s="57" t="str">
        <f>IFERROR(INDEX(Data!$N$7:$N$206,MATCH(ROW()-7,Data!$X$7:$X$206,0))&amp;"","")</f>
        <v/>
      </c>
      <c r="AH22" s="57" t="str">
        <f>IFERROR(INDEX(Data!$L$7:$L$206,MATCH(ROW()-7,Data!$X$7:$X$206,0))&amp;"","")</f>
        <v/>
      </c>
      <c r="AI22" s="57" t="str">
        <f>IFERROR(INDEX(Data!$U$7:$U$206,MATCH(ROW()-7,Data!$X$7:$X$206,0))&amp;"","")</f>
        <v/>
      </c>
    </row>
    <row r="23" spans="2:35" ht="18" customHeight="1" x14ac:dyDescent="0.25">
      <c r="B23" s="109" t="str">
        <f>"Mục tiêu: "&amp;TEXT('Cài đặt'!$C$14,"0%")</f>
        <v>Mục tiêu: 90%</v>
      </c>
      <c r="C23" s="109"/>
      <c r="D23" s="109"/>
      <c r="E23" s="109"/>
      <c r="F23" s="109"/>
      <c r="H23" s="109" t="str">
        <f>"Mục tiêu: "&amp;TEXT('Cài đặt'!$C$15,"0.0")&amp;" / 5"</f>
        <v>Mục tiêu: 4.2 / 5</v>
      </c>
      <c r="I23" s="109"/>
      <c r="J23" s="109"/>
      <c r="K23" s="109"/>
      <c r="L23" s="109"/>
      <c r="N23" s="109" t="str">
        <f ca="1">"Đang diễn ra: "&amp;COUNTIFS(Data!$W$7:$W$206,$T$2,Data!$V$7:$V$206,"Q"&amp;$W$2,Data!$T$7:$T$206,"",Data!$U$7:$U$206,"Đang diễn ra")&amp;" khóa"</f>
        <v>Đang diễn ra: 1 khóa</v>
      </c>
      <c r="O23" s="109"/>
      <c r="P23" s="109"/>
      <c r="Q23" s="109"/>
      <c r="R23" s="109"/>
      <c r="T23" s="109" t="str">
        <f>"ngày làm việc trong quý"</f>
        <v>ngày làm việc trong quý</v>
      </c>
      <c r="U23" s="109"/>
      <c r="V23" s="109"/>
      <c r="W23" s="109"/>
      <c r="X23" s="109"/>
      <c r="Z23" s="57" t="str">
        <f t="shared" si="0"/>
        <v/>
      </c>
      <c r="AA23" s="57" t="str">
        <f>IFERROR(INDEX(Data!$B$7:$B$206,MATCH(ROW()-7,Data!$X$7:$X$206,0))&amp;"","")</f>
        <v/>
      </c>
      <c r="AB23" s="58" t="str">
        <f>IFERROR(INDEX(Data!$C$7:$C$206,MATCH(ROW()-7,Data!$X$7:$X$206,0))&amp;"","")</f>
        <v/>
      </c>
      <c r="AC23" s="57" t="str">
        <f>IFERROR(INDEX(Data!$D$7:$D$206,MATCH(ROW()-7,Data!$X$7:$X$206,0))&amp;"","")</f>
        <v/>
      </c>
      <c r="AD23" s="59" t="str">
        <f>IFERROR(INDEX(Data!$E$7:$E$206,MATCH(ROW()-7,Data!$X$7:$X$206,0)),"")</f>
        <v/>
      </c>
      <c r="AE23" s="59" t="str">
        <f>IFERROR(INDEX(Data!$F$7:$F$206,MATCH(ROW()-7,Data!$X$7:$X$206,0)),"")</f>
        <v/>
      </c>
      <c r="AF23" s="58" t="str">
        <f>IFERROR(INDEX(Data!$J$7:$J$206,MATCH(ROW()-7,Data!$X$7:$X$206,0))&amp;"","")</f>
        <v/>
      </c>
      <c r="AG23" s="57" t="str">
        <f>IFERROR(INDEX(Data!$N$7:$N$206,MATCH(ROW()-7,Data!$X$7:$X$206,0))&amp;"","")</f>
        <v/>
      </c>
      <c r="AH23" s="57" t="str">
        <f>IFERROR(INDEX(Data!$L$7:$L$206,MATCH(ROW()-7,Data!$X$7:$X$206,0))&amp;"","")</f>
        <v/>
      </c>
      <c r="AI23" s="57" t="str">
        <f>IFERROR(INDEX(Data!$U$7:$U$206,MATCH(ROW()-7,Data!$X$7:$X$206,0))&amp;"","")</f>
        <v/>
      </c>
    </row>
    <row r="24" spans="2:35" ht="19.5" customHeight="1" x14ac:dyDescent="0.25">
      <c r="Z24" s="57" t="str">
        <f t="shared" si="0"/>
        <v/>
      </c>
      <c r="AA24" s="57" t="str">
        <f>IFERROR(INDEX(Data!$B$7:$B$206,MATCH(ROW()-7,Data!$X$7:$X$206,0))&amp;"","")</f>
        <v/>
      </c>
      <c r="AB24" s="58" t="str">
        <f>IFERROR(INDEX(Data!$C$7:$C$206,MATCH(ROW()-7,Data!$X$7:$X$206,0))&amp;"","")</f>
        <v/>
      </c>
      <c r="AC24" s="57" t="str">
        <f>IFERROR(INDEX(Data!$D$7:$D$206,MATCH(ROW()-7,Data!$X$7:$X$206,0))&amp;"","")</f>
        <v/>
      </c>
      <c r="AD24" s="59" t="str">
        <f>IFERROR(INDEX(Data!$E$7:$E$206,MATCH(ROW()-7,Data!$X$7:$X$206,0)),"")</f>
        <v/>
      </c>
      <c r="AE24" s="59" t="str">
        <f>IFERROR(INDEX(Data!$F$7:$F$206,MATCH(ROW()-7,Data!$X$7:$X$206,0)),"")</f>
        <v/>
      </c>
      <c r="AF24" s="58" t="str">
        <f>IFERROR(INDEX(Data!$J$7:$J$206,MATCH(ROW()-7,Data!$X$7:$X$206,0))&amp;"","")</f>
        <v/>
      </c>
      <c r="AG24" s="57" t="str">
        <f>IFERROR(INDEX(Data!$N$7:$N$206,MATCH(ROW()-7,Data!$X$7:$X$206,0))&amp;"","")</f>
        <v/>
      </c>
      <c r="AH24" s="57" t="str">
        <f>IFERROR(INDEX(Data!$L$7:$L$206,MATCH(ROW()-7,Data!$X$7:$X$206,0))&amp;"","")</f>
        <v/>
      </c>
      <c r="AI24" s="57" t="str">
        <f>IFERROR(INDEX(Data!$U$7:$U$206,MATCH(ROW()-7,Data!$X$7:$X$206,0))&amp;"","")</f>
        <v/>
      </c>
    </row>
    <row r="25" spans="2:35" ht="19.5" customHeight="1" x14ac:dyDescent="0.25">
      <c r="B25" s="126" t="s">
        <v>2</v>
      </c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Z25" s="57" t="str">
        <f t="shared" si="0"/>
        <v/>
      </c>
      <c r="AA25" s="57" t="str">
        <f>IFERROR(INDEX(Data!$B$7:$B$206,MATCH(ROW()-7,Data!$X$7:$X$206,0))&amp;"","")</f>
        <v/>
      </c>
      <c r="AB25" s="58" t="str">
        <f>IFERROR(INDEX(Data!$C$7:$C$206,MATCH(ROW()-7,Data!$X$7:$X$206,0))&amp;"","")</f>
        <v/>
      </c>
      <c r="AC25" s="57" t="str">
        <f>IFERROR(INDEX(Data!$D$7:$D$206,MATCH(ROW()-7,Data!$X$7:$X$206,0))&amp;"","")</f>
        <v/>
      </c>
      <c r="AD25" s="59" t="str">
        <f>IFERROR(INDEX(Data!$E$7:$E$206,MATCH(ROW()-7,Data!$X$7:$X$206,0)),"")</f>
        <v/>
      </c>
      <c r="AE25" s="59" t="str">
        <f>IFERROR(INDEX(Data!$F$7:$F$206,MATCH(ROW()-7,Data!$X$7:$X$206,0)),"")</f>
        <v/>
      </c>
      <c r="AF25" s="58" t="str">
        <f>IFERROR(INDEX(Data!$J$7:$J$206,MATCH(ROW()-7,Data!$X$7:$X$206,0))&amp;"","")</f>
        <v/>
      </c>
      <c r="AG25" s="57" t="str">
        <f>IFERROR(INDEX(Data!$N$7:$N$206,MATCH(ROW()-7,Data!$X$7:$X$206,0))&amp;"","")</f>
        <v/>
      </c>
      <c r="AH25" s="57" t="str">
        <f>IFERROR(INDEX(Data!$L$7:$L$206,MATCH(ROW()-7,Data!$X$7:$X$206,0))&amp;"","")</f>
        <v/>
      </c>
      <c r="AI25" s="57" t="str">
        <f>IFERROR(INDEX(Data!$U$7:$U$206,MATCH(ROW()-7,Data!$X$7:$X$206,0))&amp;"","")</f>
        <v/>
      </c>
    </row>
    <row r="26" spans="2:35" ht="19.5" customHeight="1" x14ac:dyDescent="0.25">
      <c r="Z26" s="57" t="str">
        <f t="shared" si="0"/>
        <v/>
      </c>
      <c r="AA26" s="57" t="str">
        <f>IFERROR(INDEX(Data!$B$7:$B$206,MATCH(ROW()-7,Data!$X$7:$X$206,0))&amp;"","")</f>
        <v/>
      </c>
      <c r="AB26" s="58" t="str">
        <f>IFERROR(INDEX(Data!$C$7:$C$206,MATCH(ROW()-7,Data!$X$7:$X$206,0))&amp;"","")</f>
        <v/>
      </c>
      <c r="AC26" s="57" t="str">
        <f>IFERROR(INDEX(Data!$D$7:$D$206,MATCH(ROW()-7,Data!$X$7:$X$206,0))&amp;"","")</f>
        <v/>
      </c>
      <c r="AD26" s="59" t="str">
        <f>IFERROR(INDEX(Data!$E$7:$E$206,MATCH(ROW()-7,Data!$X$7:$X$206,0)),"")</f>
        <v/>
      </c>
      <c r="AE26" s="59" t="str">
        <f>IFERROR(INDEX(Data!$F$7:$F$206,MATCH(ROW()-7,Data!$X$7:$X$206,0)),"")</f>
        <v/>
      </c>
      <c r="AF26" s="58" t="str">
        <f>IFERROR(INDEX(Data!$J$7:$J$206,MATCH(ROW()-7,Data!$X$7:$X$206,0))&amp;"","")</f>
        <v/>
      </c>
      <c r="AG26" s="57" t="str">
        <f>IFERROR(INDEX(Data!$N$7:$N$206,MATCH(ROW()-7,Data!$X$7:$X$206,0))&amp;"","")</f>
        <v/>
      </c>
      <c r="AH26" s="57" t="str">
        <f>IFERROR(INDEX(Data!$L$7:$L$206,MATCH(ROW()-7,Data!$X$7:$X$206,0))&amp;"","")</f>
        <v/>
      </c>
      <c r="AI26" s="57" t="str">
        <f>IFERROR(INDEX(Data!$U$7:$U$206,MATCH(ROW()-7,Data!$X$7:$X$206,0))&amp;"","")</f>
        <v/>
      </c>
    </row>
    <row r="27" spans="2:35" ht="19.5" customHeight="1" x14ac:dyDescent="0.25">
      <c r="Z27" s="57" t="str">
        <f t="shared" si="0"/>
        <v/>
      </c>
      <c r="AA27" s="57" t="str">
        <f>IFERROR(INDEX(Data!$B$7:$B$206,MATCH(ROW()-7,Data!$X$7:$X$206,0))&amp;"","")</f>
        <v/>
      </c>
      <c r="AB27" s="58" t="str">
        <f>IFERROR(INDEX(Data!$C$7:$C$206,MATCH(ROW()-7,Data!$X$7:$X$206,0))&amp;"","")</f>
        <v/>
      </c>
      <c r="AC27" s="57" t="str">
        <f>IFERROR(INDEX(Data!$D$7:$D$206,MATCH(ROW()-7,Data!$X$7:$X$206,0))&amp;"","")</f>
        <v/>
      </c>
      <c r="AD27" s="59" t="str">
        <f>IFERROR(INDEX(Data!$E$7:$E$206,MATCH(ROW()-7,Data!$X$7:$X$206,0)),"")</f>
        <v/>
      </c>
      <c r="AE27" s="59" t="str">
        <f>IFERROR(INDEX(Data!$F$7:$F$206,MATCH(ROW()-7,Data!$X$7:$X$206,0)),"")</f>
        <v/>
      </c>
      <c r="AF27" s="58" t="str">
        <f>IFERROR(INDEX(Data!$J$7:$J$206,MATCH(ROW()-7,Data!$X$7:$X$206,0))&amp;"","")</f>
        <v/>
      </c>
      <c r="AG27" s="57" t="str">
        <f>IFERROR(INDEX(Data!$N$7:$N$206,MATCH(ROW()-7,Data!$X$7:$X$206,0))&amp;"","")</f>
        <v/>
      </c>
      <c r="AH27" s="57" t="str">
        <f>IFERROR(INDEX(Data!$L$7:$L$206,MATCH(ROW()-7,Data!$X$7:$X$206,0))&amp;"","")</f>
        <v/>
      </c>
      <c r="AI27" s="57" t="str">
        <f>IFERROR(INDEX(Data!$U$7:$U$206,MATCH(ROW()-7,Data!$X$7:$X$206,0))&amp;"","")</f>
        <v/>
      </c>
    </row>
    <row r="28" spans="2:35" ht="19.5" customHeight="1" x14ac:dyDescent="0.25">
      <c r="Z28" s="57" t="str">
        <f t="shared" si="0"/>
        <v/>
      </c>
      <c r="AA28" s="57" t="str">
        <f>IFERROR(INDEX(Data!$B$7:$B$206,MATCH(ROW()-7,Data!$X$7:$X$206,0))&amp;"","")</f>
        <v/>
      </c>
      <c r="AB28" s="58" t="str">
        <f>IFERROR(INDEX(Data!$C$7:$C$206,MATCH(ROW()-7,Data!$X$7:$X$206,0))&amp;"","")</f>
        <v/>
      </c>
      <c r="AC28" s="57" t="str">
        <f>IFERROR(INDEX(Data!$D$7:$D$206,MATCH(ROW()-7,Data!$X$7:$X$206,0))&amp;"","")</f>
        <v/>
      </c>
      <c r="AD28" s="59" t="str">
        <f>IFERROR(INDEX(Data!$E$7:$E$206,MATCH(ROW()-7,Data!$X$7:$X$206,0)),"")</f>
        <v/>
      </c>
      <c r="AE28" s="59" t="str">
        <f>IFERROR(INDEX(Data!$F$7:$F$206,MATCH(ROW()-7,Data!$X$7:$X$206,0)),"")</f>
        <v/>
      </c>
      <c r="AF28" s="58" t="str">
        <f>IFERROR(INDEX(Data!$J$7:$J$206,MATCH(ROW()-7,Data!$X$7:$X$206,0))&amp;"","")</f>
        <v/>
      </c>
      <c r="AG28" s="57" t="str">
        <f>IFERROR(INDEX(Data!$N$7:$N$206,MATCH(ROW()-7,Data!$X$7:$X$206,0))&amp;"","")</f>
        <v/>
      </c>
      <c r="AH28" s="57" t="str">
        <f>IFERROR(INDEX(Data!$L$7:$L$206,MATCH(ROW()-7,Data!$X$7:$X$206,0))&amp;"","")</f>
        <v/>
      </c>
      <c r="AI28" s="57" t="str">
        <f>IFERROR(INDEX(Data!$U$7:$U$206,MATCH(ROW()-7,Data!$X$7:$X$206,0))&amp;"","")</f>
        <v/>
      </c>
    </row>
    <row r="29" spans="2:35" ht="19.5" customHeight="1" x14ac:dyDescent="0.25">
      <c r="Z29" s="57" t="str">
        <f t="shared" si="0"/>
        <v/>
      </c>
      <c r="AA29" s="57" t="str">
        <f>IFERROR(INDEX(Data!$B$7:$B$206,MATCH(ROW()-7,Data!$X$7:$X$206,0))&amp;"","")</f>
        <v/>
      </c>
      <c r="AB29" s="58" t="str">
        <f>IFERROR(INDEX(Data!$C$7:$C$206,MATCH(ROW()-7,Data!$X$7:$X$206,0))&amp;"","")</f>
        <v/>
      </c>
      <c r="AC29" s="57" t="str">
        <f>IFERROR(INDEX(Data!$D$7:$D$206,MATCH(ROW()-7,Data!$X$7:$X$206,0))&amp;"","")</f>
        <v/>
      </c>
      <c r="AD29" s="59" t="str">
        <f>IFERROR(INDEX(Data!$E$7:$E$206,MATCH(ROW()-7,Data!$X$7:$X$206,0)),"")</f>
        <v/>
      </c>
      <c r="AE29" s="59" t="str">
        <f>IFERROR(INDEX(Data!$F$7:$F$206,MATCH(ROW()-7,Data!$X$7:$X$206,0)),"")</f>
        <v/>
      </c>
      <c r="AF29" s="58" t="str">
        <f>IFERROR(INDEX(Data!$J$7:$J$206,MATCH(ROW()-7,Data!$X$7:$X$206,0))&amp;"","")</f>
        <v/>
      </c>
      <c r="AG29" s="57" t="str">
        <f>IFERROR(INDEX(Data!$N$7:$N$206,MATCH(ROW()-7,Data!$X$7:$X$206,0))&amp;"","")</f>
        <v/>
      </c>
      <c r="AH29" s="57" t="str">
        <f>IFERROR(INDEX(Data!$L$7:$L$206,MATCH(ROW()-7,Data!$X$7:$X$206,0))&amp;"","")</f>
        <v/>
      </c>
      <c r="AI29" s="57" t="str">
        <f>IFERROR(INDEX(Data!$U$7:$U$206,MATCH(ROW()-7,Data!$X$7:$X$206,0))&amp;"","")</f>
        <v/>
      </c>
    </row>
    <row r="30" spans="2:35" ht="19.5" customHeight="1" x14ac:dyDescent="0.25">
      <c r="Z30" s="57" t="str">
        <f t="shared" si="0"/>
        <v/>
      </c>
      <c r="AA30" s="57" t="str">
        <f>IFERROR(INDEX(Data!$B$7:$B$206,MATCH(ROW()-7,Data!$X$7:$X$206,0))&amp;"","")</f>
        <v/>
      </c>
      <c r="AB30" s="58" t="str">
        <f>IFERROR(INDEX(Data!$C$7:$C$206,MATCH(ROW()-7,Data!$X$7:$X$206,0))&amp;"","")</f>
        <v/>
      </c>
      <c r="AC30" s="57" t="str">
        <f>IFERROR(INDEX(Data!$D$7:$D$206,MATCH(ROW()-7,Data!$X$7:$X$206,0))&amp;"","")</f>
        <v/>
      </c>
      <c r="AD30" s="59" t="str">
        <f>IFERROR(INDEX(Data!$E$7:$E$206,MATCH(ROW()-7,Data!$X$7:$X$206,0)),"")</f>
        <v/>
      </c>
      <c r="AE30" s="59" t="str">
        <f>IFERROR(INDEX(Data!$F$7:$F$206,MATCH(ROW()-7,Data!$X$7:$X$206,0)),"")</f>
        <v/>
      </c>
      <c r="AF30" s="58" t="str">
        <f>IFERROR(INDEX(Data!$J$7:$J$206,MATCH(ROW()-7,Data!$X$7:$X$206,0))&amp;"","")</f>
        <v/>
      </c>
      <c r="AG30" s="57" t="str">
        <f>IFERROR(INDEX(Data!$N$7:$N$206,MATCH(ROW()-7,Data!$X$7:$X$206,0))&amp;"","")</f>
        <v/>
      </c>
      <c r="AH30" s="57" t="str">
        <f>IFERROR(INDEX(Data!$L$7:$L$206,MATCH(ROW()-7,Data!$X$7:$X$206,0))&amp;"","")</f>
        <v/>
      </c>
      <c r="AI30" s="57" t="str">
        <f>IFERROR(INDEX(Data!$U$7:$U$206,MATCH(ROW()-7,Data!$X$7:$X$206,0))&amp;"","")</f>
        <v/>
      </c>
    </row>
    <row r="31" spans="2:35" ht="19.5" customHeight="1" x14ac:dyDescent="0.25">
      <c r="Z31" s="57" t="str">
        <f t="shared" si="0"/>
        <v/>
      </c>
      <c r="AA31" s="57" t="str">
        <f>IFERROR(INDEX(Data!$B$7:$B$206,MATCH(ROW()-7,Data!$X$7:$X$206,0))&amp;"","")</f>
        <v/>
      </c>
      <c r="AB31" s="58" t="str">
        <f>IFERROR(INDEX(Data!$C$7:$C$206,MATCH(ROW()-7,Data!$X$7:$X$206,0))&amp;"","")</f>
        <v/>
      </c>
      <c r="AC31" s="57" t="str">
        <f>IFERROR(INDEX(Data!$D$7:$D$206,MATCH(ROW()-7,Data!$X$7:$X$206,0))&amp;"","")</f>
        <v/>
      </c>
      <c r="AD31" s="59" t="str">
        <f>IFERROR(INDEX(Data!$E$7:$E$206,MATCH(ROW()-7,Data!$X$7:$X$206,0)),"")</f>
        <v/>
      </c>
      <c r="AE31" s="59" t="str">
        <f>IFERROR(INDEX(Data!$F$7:$F$206,MATCH(ROW()-7,Data!$X$7:$X$206,0)),"")</f>
        <v/>
      </c>
      <c r="AF31" s="58" t="str">
        <f>IFERROR(INDEX(Data!$J$7:$J$206,MATCH(ROW()-7,Data!$X$7:$X$206,0))&amp;"","")</f>
        <v/>
      </c>
      <c r="AG31" s="57" t="str">
        <f>IFERROR(INDEX(Data!$N$7:$N$206,MATCH(ROW()-7,Data!$X$7:$X$206,0))&amp;"","")</f>
        <v/>
      </c>
      <c r="AH31" s="57" t="str">
        <f>IFERROR(INDEX(Data!$L$7:$L$206,MATCH(ROW()-7,Data!$X$7:$X$206,0))&amp;"","")</f>
        <v/>
      </c>
      <c r="AI31" s="57" t="str">
        <f>IFERROR(INDEX(Data!$U$7:$U$206,MATCH(ROW()-7,Data!$X$7:$X$206,0))&amp;"","")</f>
        <v/>
      </c>
    </row>
    <row r="32" spans="2:35" ht="19.5" customHeight="1" x14ac:dyDescent="0.25">
      <c r="Z32" s="57" t="str">
        <f t="shared" si="0"/>
        <v/>
      </c>
      <c r="AA32" s="57" t="str">
        <f>IFERROR(INDEX(Data!$B$7:$B$206,MATCH(ROW()-7,Data!$X$7:$X$206,0))&amp;"","")</f>
        <v/>
      </c>
      <c r="AB32" s="58" t="str">
        <f>IFERROR(INDEX(Data!$C$7:$C$206,MATCH(ROW()-7,Data!$X$7:$X$206,0))&amp;"","")</f>
        <v/>
      </c>
      <c r="AC32" s="57" t="str">
        <f>IFERROR(INDEX(Data!$D$7:$D$206,MATCH(ROW()-7,Data!$X$7:$X$206,0))&amp;"","")</f>
        <v/>
      </c>
      <c r="AD32" s="59" t="str">
        <f>IFERROR(INDEX(Data!$E$7:$E$206,MATCH(ROW()-7,Data!$X$7:$X$206,0)),"")</f>
        <v/>
      </c>
      <c r="AE32" s="59" t="str">
        <f>IFERROR(INDEX(Data!$F$7:$F$206,MATCH(ROW()-7,Data!$X$7:$X$206,0)),"")</f>
        <v/>
      </c>
      <c r="AF32" s="58" t="str">
        <f>IFERROR(INDEX(Data!$J$7:$J$206,MATCH(ROW()-7,Data!$X$7:$X$206,0))&amp;"","")</f>
        <v/>
      </c>
      <c r="AG32" s="57" t="str">
        <f>IFERROR(INDEX(Data!$N$7:$N$206,MATCH(ROW()-7,Data!$X$7:$X$206,0))&amp;"","")</f>
        <v/>
      </c>
      <c r="AH32" s="57" t="str">
        <f>IFERROR(INDEX(Data!$L$7:$L$206,MATCH(ROW()-7,Data!$X$7:$X$206,0))&amp;"","")</f>
        <v/>
      </c>
      <c r="AI32" s="57" t="str">
        <f>IFERROR(INDEX(Data!$U$7:$U$206,MATCH(ROW()-7,Data!$X$7:$X$206,0))&amp;"","")</f>
        <v/>
      </c>
    </row>
    <row r="33" spans="26:35" ht="19.5" customHeight="1" x14ac:dyDescent="0.25">
      <c r="Z33" s="57" t="str">
        <f t="shared" si="0"/>
        <v/>
      </c>
      <c r="AA33" s="57" t="str">
        <f>IFERROR(INDEX(Data!$B$7:$B$206,MATCH(ROW()-7,Data!$X$7:$X$206,0))&amp;"","")</f>
        <v/>
      </c>
      <c r="AB33" s="58" t="str">
        <f>IFERROR(INDEX(Data!$C$7:$C$206,MATCH(ROW()-7,Data!$X$7:$X$206,0))&amp;"","")</f>
        <v/>
      </c>
      <c r="AC33" s="57" t="str">
        <f>IFERROR(INDEX(Data!$D$7:$D$206,MATCH(ROW()-7,Data!$X$7:$X$206,0))&amp;"","")</f>
        <v/>
      </c>
      <c r="AD33" s="59" t="str">
        <f>IFERROR(INDEX(Data!$E$7:$E$206,MATCH(ROW()-7,Data!$X$7:$X$206,0)),"")</f>
        <v/>
      </c>
      <c r="AE33" s="59" t="str">
        <f>IFERROR(INDEX(Data!$F$7:$F$206,MATCH(ROW()-7,Data!$X$7:$X$206,0)),"")</f>
        <v/>
      </c>
      <c r="AF33" s="58" t="str">
        <f>IFERROR(INDEX(Data!$J$7:$J$206,MATCH(ROW()-7,Data!$X$7:$X$206,0))&amp;"","")</f>
        <v/>
      </c>
      <c r="AG33" s="57" t="str">
        <f>IFERROR(INDEX(Data!$N$7:$N$206,MATCH(ROW()-7,Data!$X$7:$X$206,0))&amp;"","")</f>
        <v/>
      </c>
      <c r="AH33" s="57" t="str">
        <f>IFERROR(INDEX(Data!$L$7:$L$206,MATCH(ROW()-7,Data!$X$7:$X$206,0))&amp;"","")</f>
        <v/>
      </c>
      <c r="AI33" s="57" t="str">
        <f>IFERROR(INDEX(Data!$U$7:$U$206,MATCH(ROW()-7,Data!$X$7:$X$206,0))&amp;"","")</f>
        <v/>
      </c>
    </row>
    <row r="34" spans="26:35" ht="19.5" customHeight="1" x14ac:dyDescent="0.25">
      <c r="Z34" s="57" t="str">
        <f t="shared" si="0"/>
        <v/>
      </c>
      <c r="AA34" s="57" t="str">
        <f>IFERROR(INDEX(Data!$B$7:$B$206,MATCH(ROW()-7,Data!$X$7:$X$206,0))&amp;"","")</f>
        <v/>
      </c>
      <c r="AB34" s="58" t="str">
        <f>IFERROR(INDEX(Data!$C$7:$C$206,MATCH(ROW()-7,Data!$X$7:$X$206,0))&amp;"","")</f>
        <v/>
      </c>
      <c r="AC34" s="57" t="str">
        <f>IFERROR(INDEX(Data!$D$7:$D$206,MATCH(ROW()-7,Data!$X$7:$X$206,0))&amp;"","")</f>
        <v/>
      </c>
      <c r="AD34" s="59" t="str">
        <f>IFERROR(INDEX(Data!$E$7:$E$206,MATCH(ROW()-7,Data!$X$7:$X$206,0)),"")</f>
        <v/>
      </c>
      <c r="AE34" s="59" t="str">
        <f>IFERROR(INDEX(Data!$F$7:$F$206,MATCH(ROW()-7,Data!$X$7:$X$206,0)),"")</f>
        <v/>
      </c>
      <c r="AF34" s="58" t="str">
        <f>IFERROR(INDEX(Data!$J$7:$J$206,MATCH(ROW()-7,Data!$X$7:$X$206,0))&amp;"","")</f>
        <v/>
      </c>
      <c r="AG34" s="57" t="str">
        <f>IFERROR(INDEX(Data!$N$7:$N$206,MATCH(ROW()-7,Data!$X$7:$X$206,0))&amp;"","")</f>
        <v/>
      </c>
      <c r="AH34" s="57" t="str">
        <f>IFERROR(INDEX(Data!$L$7:$L$206,MATCH(ROW()-7,Data!$X$7:$X$206,0))&amp;"","")</f>
        <v/>
      </c>
      <c r="AI34" s="57" t="str">
        <f>IFERROR(INDEX(Data!$U$7:$U$206,MATCH(ROW()-7,Data!$X$7:$X$206,0))&amp;"","")</f>
        <v/>
      </c>
    </row>
    <row r="35" spans="26:35" ht="19.5" customHeight="1" x14ac:dyDescent="0.25">
      <c r="Z35" s="57" t="str">
        <f t="shared" si="0"/>
        <v/>
      </c>
      <c r="AA35" s="57" t="str">
        <f>IFERROR(INDEX(Data!$B$7:$B$206,MATCH(ROW()-7,Data!$X$7:$X$206,0))&amp;"","")</f>
        <v/>
      </c>
      <c r="AB35" s="58" t="str">
        <f>IFERROR(INDEX(Data!$C$7:$C$206,MATCH(ROW()-7,Data!$X$7:$X$206,0))&amp;"","")</f>
        <v/>
      </c>
      <c r="AC35" s="57" t="str">
        <f>IFERROR(INDEX(Data!$D$7:$D$206,MATCH(ROW()-7,Data!$X$7:$X$206,0))&amp;"","")</f>
        <v/>
      </c>
      <c r="AD35" s="59" t="str">
        <f>IFERROR(INDEX(Data!$E$7:$E$206,MATCH(ROW()-7,Data!$X$7:$X$206,0)),"")</f>
        <v/>
      </c>
      <c r="AE35" s="59" t="str">
        <f>IFERROR(INDEX(Data!$F$7:$F$206,MATCH(ROW()-7,Data!$X$7:$X$206,0)),"")</f>
        <v/>
      </c>
      <c r="AF35" s="58" t="str">
        <f>IFERROR(INDEX(Data!$J$7:$J$206,MATCH(ROW()-7,Data!$X$7:$X$206,0))&amp;"","")</f>
        <v/>
      </c>
      <c r="AG35" s="57" t="str">
        <f>IFERROR(INDEX(Data!$N$7:$N$206,MATCH(ROW()-7,Data!$X$7:$X$206,0))&amp;"","")</f>
        <v/>
      </c>
      <c r="AH35" s="57" t="str">
        <f>IFERROR(INDEX(Data!$L$7:$L$206,MATCH(ROW()-7,Data!$X$7:$X$206,0))&amp;"","")</f>
        <v/>
      </c>
      <c r="AI35" s="57" t="str">
        <f>IFERROR(INDEX(Data!$U$7:$U$206,MATCH(ROW()-7,Data!$X$7:$X$206,0))&amp;"","")</f>
        <v/>
      </c>
    </row>
    <row r="36" spans="26:35" ht="19.5" customHeight="1" x14ac:dyDescent="0.25">
      <c r="Z36" s="57" t="str">
        <f t="shared" si="0"/>
        <v/>
      </c>
      <c r="AA36" s="57" t="str">
        <f>IFERROR(INDEX(Data!$B$7:$B$206,MATCH(ROW()-7,Data!$X$7:$X$206,0))&amp;"","")</f>
        <v/>
      </c>
      <c r="AB36" s="58" t="str">
        <f>IFERROR(INDEX(Data!$C$7:$C$206,MATCH(ROW()-7,Data!$X$7:$X$206,0))&amp;"","")</f>
        <v/>
      </c>
      <c r="AC36" s="57" t="str">
        <f>IFERROR(INDEX(Data!$D$7:$D$206,MATCH(ROW()-7,Data!$X$7:$X$206,0))&amp;"","")</f>
        <v/>
      </c>
      <c r="AD36" s="59" t="str">
        <f>IFERROR(INDEX(Data!$E$7:$E$206,MATCH(ROW()-7,Data!$X$7:$X$206,0)),"")</f>
        <v/>
      </c>
      <c r="AE36" s="59" t="str">
        <f>IFERROR(INDEX(Data!$F$7:$F$206,MATCH(ROW()-7,Data!$X$7:$X$206,0)),"")</f>
        <v/>
      </c>
      <c r="AF36" s="58" t="str">
        <f>IFERROR(INDEX(Data!$J$7:$J$206,MATCH(ROW()-7,Data!$X$7:$X$206,0))&amp;"","")</f>
        <v/>
      </c>
      <c r="AG36" s="57" t="str">
        <f>IFERROR(INDEX(Data!$N$7:$N$206,MATCH(ROW()-7,Data!$X$7:$X$206,0))&amp;"","")</f>
        <v/>
      </c>
      <c r="AH36" s="57" t="str">
        <f>IFERROR(INDEX(Data!$L$7:$L$206,MATCH(ROW()-7,Data!$X$7:$X$206,0))&amp;"","")</f>
        <v/>
      </c>
      <c r="AI36" s="57" t="str">
        <f>IFERROR(INDEX(Data!$U$7:$U$206,MATCH(ROW()-7,Data!$X$7:$X$206,0))&amp;"","")</f>
        <v/>
      </c>
    </row>
    <row r="37" spans="26:35" ht="19.5" customHeight="1" x14ac:dyDescent="0.25">
      <c r="Z37" s="57" t="str">
        <f t="shared" si="0"/>
        <v/>
      </c>
      <c r="AA37" s="57" t="str">
        <f>IFERROR(INDEX(Data!$B$7:$B$206,MATCH(ROW()-7,Data!$X$7:$X$206,0))&amp;"","")</f>
        <v/>
      </c>
      <c r="AB37" s="58" t="str">
        <f>IFERROR(INDEX(Data!$C$7:$C$206,MATCH(ROW()-7,Data!$X$7:$X$206,0))&amp;"","")</f>
        <v/>
      </c>
      <c r="AC37" s="57" t="str">
        <f>IFERROR(INDEX(Data!$D$7:$D$206,MATCH(ROW()-7,Data!$X$7:$X$206,0))&amp;"","")</f>
        <v/>
      </c>
      <c r="AD37" s="59" t="str">
        <f>IFERROR(INDEX(Data!$E$7:$E$206,MATCH(ROW()-7,Data!$X$7:$X$206,0)),"")</f>
        <v/>
      </c>
      <c r="AE37" s="59" t="str">
        <f>IFERROR(INDEX(Data!$F$7:$F$206,MATCH(ROW()-7,Data!$X$7:$X$206,0)),"")</f>
        <v/>
      </c>
      <c r="AF37" s="58" t="str">
        <f>IFERROR(INDEX(Data!$J$7:$J$206,MATCH(ROW()-7,Data!$X$7:$X$206,0))&amp;"","")</f>
        <v/>
      </c>
      <c r="AG37" s="57" t="str">
        <f>IFERROR(INDEX(Data!$N$7:$N$206,MATCH(ROW()-7,Data!$X$7:$X$206,0))&amp;"","")</f>
        <v/>
      </c>
      <c r="AH37" s="57" t="str">
        <f>IFERROR(INDEX(Data!$L$7:$L$206,MATCH(ROW()-7,Data!$X$7:$X$206,0))&amp;"","")</f>
        <v/>
      </c>
      <c r="AI37" s="57" t="str">
        <f>IFERROR(INDEX(Data!$U$7:$U$206,MATCH(ROW()-7,Data!$X$7:$X$206,0))&amp;"","")</f>
        <v/>
      </c>
    </row>
    <row r="38" spans="26:35" ht="19.5" customHeight="1" x14ac:dyDescent="0.25">
      <c r="Z38" s="57" t="str">
        <f t="shared" si="0"/>
        <v/>
      </c>
      <c r="AA38" s="57" t="str">
        <f>IFERROR(INDEX(Data!$B$7:$B$206,MATCH(ROW()-7,Data!$X$7:$X$206,0))&amp;"","")</f>
        <v/>
      </c>
      <c r="AB38" s="58" t="str">
        <f>IFERROR(INDEX(Data!$C$7:$C$206,MATCH(ROW()-7,Data!$X$7:$X$206,0))&amp;"","")</f>
        <v/>
      </c>
      <c r="AC38" s="57" t="str">
        <f>IFERROR(INDEX(Data!$D$7:$D$206,MATCH(ROW()-7,Data!$X$7:$X$206,0))&amp;"","")</f>
        <v/>
      </c>
      <c r="AD38" s="59" t="str">
        <f>IFERROR(INDEX(Data!$E$7:$E$206,MATCH(ROW()-7,Data!$X$7:$X$206,0)),"")</f>
        <v/>
      </c>
      <c r="AE38" s="59" t="str">
        <f>IFERROR(INDEX(Data!$F$7:$F$206,MATCH(ROW()-7,Data!$X$7:$X$206,0)),"")</f>
        <v/>
      </c>
      <c r="AF38" s="58" t="str">
        <f>IFERROR(INDEX(Data!$J$7:$J$206,MATCH(ROW()-7,Data!$X$7:$X$206,0))&amp;"","")</f>
        <v/>
      </c>
      <c r="AG38" s="57" t="str">
        <f>IFERROR(INDEX(Data!$N$7:$N$206,MATCH(ROW()-7,Data!$X$7:$X$206,0))&amp;"","")</f>
        <v/>
      </c>
      <c r="AH38" s="57" t="str">
        <f>IFERROR(INDEX(Data!$L$7:$L$206,MATCH(ROW()-7,Data!$X$7:$X$206,0))&amp;"","")</f>
        <v/>
      </c>
      <c r="AI38" s="57" t="str">
        <f>IFERROR(INDEX(Data!$U$7:$U$206,MATCH(ROW()-7,Data!$X$7:$X$206,0))&amp;"","")</f>
        <v/>
      </c>
    </row>
    <row r="39" spans="26:35" ht="19.5" customHeight="1" x14ac:dyDescent="0.25">
      <c r="Z39" s="57" t="str">
        <f t="shared" si="0"/>
        <v/>
      </c>
      <c r="AA39" s="57" t="str">
        <f>IFERROR(INDEX(Data!$B$7:$B$206,MATCH(ROW()-7,Data!$X$7:$X$206,0))&amp;"","")</f>
        <v/>
      </c>
      <c r="AB39" s="58" t="str">
        <f>IFERROR(INDEX(Data!$C$7:$C$206,MATCH(ROW()-7,Data!$X$7:$X$206,0))&amp;"","")</f>
        <v/>
      </c>
      <c r="AC39" s="57" t="str">
        <f>IFERROR(INDEX(Data!$D$7:$D$206,MATCH(ROW()-7,Data!$X$7:$X$206,0))&amp;"","")</f>
        <v/>
      </c>
      <c r="AD39" s="59" t="str">
        <f>IFERROR(INDEX(Data!$E$7:$E$206,MATCH(ROW()-7,Data!$X$7:$X$206,0)),"")</f>
        <v/>
      </c>
      <c r="AE39" s="59" t="str">
        <f>IFERROR(INDEX(Data!$F$7:$F$206,MATCH(ROW()-7,Data!$X$7:$X$206,0)),"")</f>
        <v/>
      </c>
      <c r="AF39" s="58" t="str">
        <f>IFERROR(INDEX(Data!$J$7:$J$206,MATCH(ROW()-7,Data!$X$7:$X$206,0))&amp;"","")</f>
        <v/>
      </c>
      <c r="AG39" s="57" t="str">
        <f>IFERROR(INDEX(Data!$N$7:$N$206,MATCH(ROW()-7,Data!$X$7:$X$206,0))&amp;"","")</f>
        <v/>
      </c>
      <c r="AH39" s="57" t="str">
        <f>IFERROR(INDEX(Data!$L$7:$L$206,MATCH(ROW()-7,Data!$X$7:$X$206,0))&amp;"","")</f>
        <v/>
      </c>
      <c r="AI39" s="57" t="str">
        <f>IFERROR(INDEX(Data!$U$7:$U$206,MATCH(ROW()-7,Data!$X$7:$X$206,0))&amp;"","")</f>
        <v/>
      </c>
    </row>
    <row r="40" spans="26:35" ht="19.5" customHeight="1" x14ac:dyDescent="0.25">
      <c r="Z40" s="57" t="str">
        <f t="shared" si="0"/>
        <v/>
      </c>
      <c r="AA40" s="57" t="str">
        <f>IFERROR(INDEX(Data!$B$7:$B$206,MATCH(ROW()-7,Data!$X$7:$X$206,0))&amp;"","")</f>
        <v/>
      </c>
      <c r="AB40" s="58" t="str">
        <f>IFERROR(INDEX(Data!$C$7:$C$206,MATCH(ROW()-7,Data!$X$7:$X$206,0))&amp;"","")</f>
        <v/>
      </c>
      <c r="AC40" s="57" t="str">
        <f>IFERROR(INDEX(Data!$D$7:$D$206,MATCH(ROW()-7,Data!$X$7:$X$206,0))&amp;"","")</f>
        <v/>
      </c>
      <c r="AD40" s="59" t="str">
        <f>IFERROR(INDEX(Data!$E$7:$E$206,MATCH(ROW()-7,Data!$X$7:$X$206,0)),"")</f>
        <v/>
      </c>
      <c r="AE40" s="59" t="str">
        <f>IFERROR(INDEX(Data!$F$7:$F$206,MATCH(ROW()-7,Data!$X$7:$X$206,0)),"")</f>
        <v/>
      </c>
      <c r="AF40" s="58" t="str">
        <f>IFERROR(INDEX(Data!$J$7:$J$206,MATCH(ROW()-7,Data!$X$7:$X$206,0))&amp;"","")</f>
        <v/>
      </c>
      <c r="AG40" s="57" t="str">
        <f>IFERROR(INDEX(Data!$N$7:$N$206,MATCH(ROW()-7,Data!$X$7:$X$206,0))&amp;"","")</f>
        <v/>
      </c>
      <c r="AH40" s="57" t="str">
        <f>IFERROR(INDEX(Data!$L$7:$L$206,MATCH(ROW()-7,Data!$X$7:$X$206,0))&amp;"","")</f>
        <v/>
      </c>
      <c r="AI40" s="57" t="str">
        <f>IFERROR(INDEX(Data!$U$7:$U$206,MATCH(ROW()-7,Data!$X$7:$X$206,0))&amp;"","")</f>
        <v/>
      </c>
    </row>
    <row r="41" spans="26:35" ht="19.5" customHeight="1" x14ac:dyDescent="0.25">
      <c r="Z41" s="57" t="str">
        <f t="shared" si="0"/>
        <v/>
      </c>
      <c r="AA41" s="57" t="str">
        <f>IFERROR(INDEX(Data!$B$7:$B$206,MATCH(ROW()-7,Data!$X$7:$X$206,0))&amp;"","")</f>
        <v/>
      </c>
      <c r="AB41" s="58" t="str">
        <f>IFERROR(INDEX(Data!$C$7:$C$206,MATCH(ROW()-7,Data!$X$7:$X$206,0))&amp;"","")</f>
        <v/>
      </c>
      <c r="AC41" s="57" t="str">
        <f>IFERROR(INDEX(Data!$D$7:$D$206,MATCH(ROW()-7,Data!$X$7:$X$206,0))&amp;"","")</f>
        <v/>
      </c>
      <c r="AD41" s="59" t="str">
        <f>IFERROR(INDEX(Data!$E$7:$E$206,MATCH(ROW()-7,Data!$X$7:$X$206,0)),"")</f>
        <v/>
      </c>
      <c r="AE41" s="59" t="str">
        <f>IFERROR(INDEX(Data!$F$7:$F$206,MATCH(ROW()-7,Data!$X$7:$X$206,0)),"")</f>
        <v/>
      </c>
      <c r="AF41" s="58" t="str">
        <f>IFERROR(INDEX(Data!$J$7:$J$206,MATCH(ROW()-7,Data!$X$7:$X$206,0))&amp;"","")</f>
        <v/>
      </c>
      <c r="AG41" s="57" t="str">
        <f>IFERROR(INDEX(Data!$N$7:$N$206,MATCH(ROW()-7,Data!$X$7:$X$206,0))&amp;"","")</f>
        <v/>
      </c>
      <c r="AH41" s="57" t="str">
        <f>IFERROR(INDEX(Data!$L$7:$L$206,MATCH(ROW()-7,Data!$X$7:$X$206,0))&amp;"","")</f>
        <v/>
      </c>
      <c r="AI41" s="57" t="str">
        <f>IFERROR(INDEX(Data!$U$7:$U$206,MATCH(ROW()-7,Data!$X$7:$X$206,0))&amp;"","")</f>
        <v/>
      </c>
    </row>
    <row r="42" spans="26:35" ht="19.5" customHeight="1" x14ac:dyDescent="0.25">
      <c r="Z42" s="57" t="str">
        <f t="shared" si="0"/>
        <v/>
      </c>
      <c r="AA42" s="57" t="str">
        <f>IFERROR(INDEX(Data!$B$7:$B$206,MATCH(ROW()-7,Data!$X$7:$X$206,0))&amp;"","")</f>
        <v/>
      </c>
      <c r="AB42" s="58" t="str">
        <f>IFERROR(INDEX(Data!$C$7:$C$206,MATCH(ROW()-7,Data!$X$7:$X$206,0))&amp;"","")</f>
        <v/>
      </c>
      <c r="AC42" s="57" t="str">
        <f>IFERROR(INDEX(Data!$D$7:$D$206,MATCH(ROW()-7,Data!$X$7:$X$206,0))&amp;"","")</f>
        <v/>
      </c>
      <c r="AD42" s="59" t="str">
        <f>IFERROR(INDEX(Data!$E$7:$E$206,MATCH(ROW()-7,Data!$X$7:$X$206,0)),"")</f>
        <v/>
      </c>
      <c r="AE42" s="59" t="str">
        <f>IFERROR(INDEX(Data!$F$7:$F$206,MATCH(ROW()-7,Data!$X$7:$X$206,0)),"")</f>
        <v/>
      </c>
      <c r="AF42" s="58" t="str">
        <f>IFERROR(INDEX(Data!$J$7:$J$206,MATCH(ROW()-7,Data!$X$7:$X$206,0))&amp;"","")</f>
        <v/>
      </c>
      <c r="AG42" s="57" t="str">
        <f>IFERROR(INDEX(Data!$N$7:$N$206,MATCH(ROW()-7,Data!$X$7:$X$206,0))&amp;"","")</f>
        <v/>
      </c>
      <c r="AH42" s="57" t="str">
        <f>IFERROR(INDEX(Data!$L$7:$L$206,MATCH(ROW()-7,Data!$X$7:$X$206,0))&amp;"","")</f>
        <v/>
      </c>
      <c r="AI42" s="57" t="str">
        <f>IFERROR(INDEX(Data!$U$7:$U$206,MATCH(ROW()-7,Data!$X$7:$X$206,0))&amp;"","")</f>
        <v/>
      </c>
    </row>
    <row r="43" spans="26:35" ht="19.5" customHeight="1" x14ac:dyDescent="0.25">
      <c r="Z43" s="57" t="str">
        <f t="shared" si="0"/>
        <v/>
      </c>
      <c r="AA43" s="57" t="str">
        <f>IFERROR(INDEX(Data!$B$7:$B$206,MATCH(ROW()-7,Data!$X$7:$X$206,0))&amp;"","")</f>
        <v/>
      </c>
      <c r="AB43" s="58" t="str">
        <f>IFERROR(INDEX(Data!$C$7:$C$206,MATCH(ROW()-7,Data!$X$7:$X$206,0))&amp;"","")</f>
        <v/>
      </c>
      <c r="AC43" s="57" t="str">
        <f>IFERROR(INDEX(Data!$D$7:$D$206,MATCH(ROW()-7,Data!$X$7:$X$206,0))&amp;"","")</f>
        <v/>
      </c>
      <c r="AD43" s="59" t="str">
        <f>IFERROR(INDEX(Data!$E$7:$E$206,MATCH(ROW()-7,Data!$X$7:$X$206,0)),"")</f>
        <v/>
      </c>
      <c r="AE43" s="59" t="str">
        <f>IFERROR(INDEX(Data!$F$7:$F$206,MATCH(ROW()-7,Data!$X$7:$X$206,0)),"")</f>
        <v/>
      </c>
      <c r="AF43" s="58" t="str">
        <f>IFERROR(INDEX(Data!$J$7:$J$206,MATCH(ROW()-7,Data!$X$7:$X$206,0))&amp;"","")</f>
        <v/>
      </c>
      <c r="AG43" s="57" t="str">
        <f>IFERROR(INDEX(Data!$N$7:$N$206,MATCH(ROW()-7,Data!$X$7:$X$206,0))&amp;"","")</f>
        <v/>
      </c>
      <c r="AH43" s="57" t="str">
        <f>IFERROR(INDEX(Data!$L$7:$L$206,MATCH(ROW()-7,Data!$X$7:$X$206,0))&amp;"","")</f>
        <v/>
      </c>
      <c r="AI43" s="57" t="str">
        <f>IFERROR(INDEX(Data!$U$7:$U$206,MATCH(ROW()-7,Data!$X$7:$X$206,0))&amp;"","")</f>
        <v/>
      </c>
    </row>
    <row r="44" spans="26:35" ht="19.5" customHeight="1" x14ac:dyDescent="0.25">
      <c r="Z44" s="57" t="str">
        <f t="shared" si="0"/>
        <v/>
      </c>
      <c r="AA44" s="57" t="str">
        <f>IFERROR(INDEX(Data!$B$7:$B$206,MATCH(ROW()-7,Data!$X$7:$X$206,0))&amp;"","")</f>
        <v/>
      </c>
      <c r="AB44" s="58" t="str">
        <f>IFERROR(INDEX(Data!$C$7:$C$206,MATCH(ROW()-7,Data!$X$7:$X$206,0))&amp;"","")</f>
        <v/>
      </c>
      <c r="AC44" s="57" t="str">
        <f>IFERROR(INDEX(Data!$D$7:$D$206,MATCH(ROW()-7,Data!$X$7:$X$206,0))&amp;"","")</f>
        <v/>
      </c>
      <c r="AD44" s="59" t="str">
        <f>IFERROR(INDEX(Data!$E$7:$E$206,MATCH(ROW()-7,Data!$X$7:$X$206,0)),"")</f>
        <v/>
      </c>
      <c r="AE44" s="59" t="str">
        <f>IFERROR(INDEX(Data!$F$7:$F$206,MATCH(ROW()-7,Data!$X$7:$X$206,0)),"")</f>
        <v/>
      </c>
      <c r="AF44" s="58" t="str">
        <f>IFERROR(INDEX(Data!$J$7:$J$206,MATCH(ROW()-7,Data!$X$7:$X$206,0))&amp;"","")</f>
        <v/>
      </c>
      <c r="AG44" s="57" t="str">
        <f>IFERROR(INDEX(Data!$N$7:$N$206,MATCH(ROW()-7,Data!$X$7:$X$206,0))&amp;"","")</f>
        <v/>
      </c>
      <c r="AH44" s="57" t="str">
        <f>IFERROR(INDEX(Data!$L$7:$L$206,MATCH(ROW()-7,Data!$X$7:$X$206,0))&amp;"","")</f>
        <v/>
      </c>
      <c r="AI44" s="57" t="str">
        <f>IFERROR(INDEX(Data!$U$7:$U$206,MATCH(ROW()-7,Data!$X$7:$X$206,0))&amp;"","")</f>
        <v/>
      </c>
    </row>
    <row r="45" spans="26:35" ht="19.5" customHeight="1" x14ac:dyDescent="0.25">
      <c r="Z45" s="57" t="str">
        <f t="shared" si="0"/>
        <v/>
      </c>
      <c r="AA45" s="57" t="str">
        <f>IFERROR(INDEX(Data!$B$7:$B$206,MATCH(ROW()-7,Data!$X$7:$X$206,0))&amp;"","")</f>
        <v/>
      </c>
      <c r="AB45" s="58" t="str">
        <f>IFERROR(INDEX(Data!$C$7:$C$206,MATCH(ROW()-7,Data!$X$7:$X$206,0))&amp;"","")</f>
        <v/>
      </c>
      <c r="AC45" s="57" t="str">
        <f>IFERROR(INDEX(Data!$D$7:$D$206,MATCH(ROW()-7,Data!$X$7:$X$206,0))&amp;"","")</f>
        <v/>
      </c>
      <c r="AD45" s="59" t="str">
        <f>IFERROR(INDEX(Data!$E$7:$E$206,MATCH(ROW()-7,Data!$X$7:$X$206,0)),"")</f>
        <v/>
      </c>
      <c r="AE45" s="59" t="str">
        <f>IFERROR(INDEX(Data!$F$7:$F$206,MATCH(ROW()-7,Data!$X$7:$X$206,0)),"")</f>
        <v/>
      </c>
      <c r="AF45" s="58" t="str">
        <f>IFERROR(INDEX(Data!$J$7:$J$206,MATCH(ROW()-7,Data!$X$7:$X$206,0))&amp;"","")</f>
        <v/>
      </c>
      <c r="AG45" s="57" t="str">
        <f>IFERROR(INDEX(Data!$N$7:$N$206,MATCH(ROW()-7,Data!$X$7:$X$206,0))&amp;"","")</f>
        <v/>
      </c>
      <c r="AH45" s="57" t="str">
        <f>IFERROR(INDEX(Data!$L$7:$L$206,MATCH(ROW()-7,Data!$X$7:$X$206,0))&amp;"","")</f>
        <v/>
      </c>
      <c r="AI45" s="57" t="str">
        <f>IFERROR(INDEX(Data!$U$7:$U$206,MATCH(ROW()-7,Data!$X$7:$X$206,0))&amp;"","")</f>
        <v/>
      </c>
    </row>
    <row r="46" spans="26:35" ht="19.5" customHeight="1" x14ac:dyDescent="0.25">
      <c r="Z46" s="57" t="str">
        <f t="shared" si="0"/>
        <v/>
      </c>
      <c r="AA46" s="57" t="str">
        <f>IFERROR(INDEX(Data!$B$7:$B$206,MATCH(ROW()-7,Data!$X$7:$X$206,0))&amp;"","")</f>
        <v/>
      </c>
      <c r="AB46" s="58" t="str">
        <f>IFERROR(INDEX(Data!$C$7:$C$206,MATCH(ROW()-7,Data!$X$7:$X$206,0))&amp;"","")</f>
        <v/>
      </c>
      <c r="AC46" s="57" t="str">
        <f>IFERROR(INDEX(Data!$D$7:$D$206,MATCH(ROW()-7,Data!$X$7:$X$206,0))&amp;"","")</f>
        <v/>
      </c>
      <c r="AD46" s="59" t="str">
        <f>IFERROR(INDEX(Data!$E$7:$E$206,MATCH(ROW()-7,Data!$X$7:$X$206,0)),"")</f>
        <v/>
      </c>
      <c r="AE46" s="59" t="str">
        <f>IFERROR(INDEX(Data!$F$7:$F$206,MATCH(ROW()-7,Data!$X$7:$X$206,0)),"")</f>
        <v/>
      </c>
      <c r="AF46" s="58" t="str">
        <f>IFERROR(INDEX(Data!$J$7:$J$206,MATCH(ROW()-7,Data!$X$7:$X$206,0))&amp;"","")</f>
        <v/>
      </c>
      <c r="AG46" s="57" t="str">
        <f>IFERROR(INDEX(Data!$N$7:$N$206,MATCH(ROW()-7,Data!$X$7:$X$206,0))&amp;"","")</f>
        <v/>
      </c>
      <c r="AH46" s="57" t="str">
        <f>IFERROR(INDEX(Data!$L$7:$L$206,MATCH(ROW()-7,Data!$X$7:$X$206,0))&amp;"","")</f>
        <v/>
      </c>
      <c r="AI46" s="57" t="str">
        <f>IFERROR(INDEX(Data!$U$7:$U$206,MATCH(ROW()-7,Data!$X$7:$X$206,0))&amp;"","")</f>
        <v/>
      </c>
    </row>
    <row r="47" spans="26:35" ht="19.5" customHeight="1" x14ac:dyDescent="0.25">
      <c r="Z47" s="57" t="str">
        <f t="shared" si="0"/>
        <v/>
      </c>
      <c r="AA47" s="57" t="str">
        <f>IFERROR(INDEX(Data!$B$7:$B$206,MATCH(ROW()-7,Data!$X$7:$X$206,0))&amp;"","")</f>
        <v/>
      </c>
      <c r="AB47" s="58" t="str">
        <f>IFERROR(INDEX(Data!$C$7:$C$206,MATCH(ROW()-7,Data!$X$7:$X$206,0))&amp;"","")</f>
        <v/>
      </c>
      <c r="AC47" s="57" t="str">
        <f>IFERROR(INDEX(Data!$D$7:$D$206,MATCH(ROW()-7,Data!$X$7:$X$206,0))&amp;"","")</f>
        <v/>
      </c>
      <c r="AD47" s="59" t="str">
        <f>IFERROR(INDEX(Data!$E$7:$E$206,MATCH(ROW()-7,Data!$X$7:$X$206,0)),"")</f>
        <v/>
      </c>
      <c r="AE47" s="59" t="str">
        <f>IFERROR(INDEX(Data!$F$7:$F$206,MATCH(ROW()-7,Data!$X$7:$X$206,0)),"")</f>
        <v/>
      </c>
      <c r="AF47" s="58" t="str">
        <f>IFERROR(INDEX(Data!$J$7:$J$206,MATCH(ROW()-7,Data!$X$7:$X$206,0))&amp;"","")</f>
        <v/>
      </c>
      <c r="AG47" s="57" t="str">
        <f>IFERROR(INDEX(Data!$N$7:$N$206,MATCH(ROW()-7,Data!$X$7:$X$206,0))&amp;"","")</f>
        <v/>
      </c>
      <c r="AH47" s="57" t="str">
        <f>IFERROR(INDEX(Data!$L$7:$L$206,MATCH(ROW()-7,Data!$X$7:$X$206,0))&amp;"","")</f>
        <v/>
      </c>
      <c r="AI47" s="57" t="str">
        <f>IFERROR(INDEX(Data!$U$7:$U$206,MATCH(ROW()-7,Data!$X$7:$X$206,0))&amp;"","")</f>
        <v/>
      </c>
    </row>
  </sheetData>
  <mergeCells count="33">
    <mergeCell ref="B23:F23"/>
    <mergeCell ref="H23:L23"/>
    <mergeCell ref="N23:R23"/>
    <mergeCell ref="T23:X23"/>
    <mergeCell ref="B25:X25"/>
    <mergeCell ref="B21:F21"/>
    <mergeCell ref="H21:L21"/>
    <mergeCell ref="N21:R21"/>
    <mergeCell ref="T21:X21"/>
    <mergeCell ref="B22:F22"/>
    <mergeCell ref="H22:L22"/>
    <mergeCell ref="N22:R22"/>
    <mergeCell ref="T22:X22"/>
    <mergeCell ref="B18:F18"/>
    <mergeCell ref="H18:L18"/>
    <mergeCell ref="N18:R18"/>
    <mergeCell ref="T18:X18"/>
    <mergeCell ref="B19:F19"/>
    <mergeCell ref="H19:L19"/>
    <mergeCell ref="N19:R19"/>
    <mergeCell ref="T19:X19"/>
    <mergeCell ref="B7:H7"/>
    <mergeCell ref="J7:P7"/>
    <mergeCell ref="R7:X7"/>
    <mergeCell ref="B17:F17"/>
    <mergeCell ref="H17:L17"/>
    <mergeCell ref="N17:R17"/>
    <mergeCell ref="T17:X17"/>
    <mergeCell ref="R2:S2"/>
    <mergeCell ref="T2:U2"/>
    <mergeCell ref="W2:X2"/>
    <mergeCell ref="R3:X3"/>
    <mergeCell ref="Z5:AI5"/>
  </mergeCells>
  <conditionalFormatting sqref="B9:H14">
    <cfRule type="expression" dxfId="51" priority="2">
      <formula>MONTH(B9)&lt;&gt;$B$6</formula>
    </cfRule>
    <cfRule type="expression" dxfId="44" priority="9">
      <formula>B9=TODAY()</formula>
    </cfRule>
    <cfRule type="expression" dxfId="43" priority="10">
      <formula>WEEKDAY(B9,2)&gt;5</formula>
    </cfRule>
  </conditionalFormatting>
  <conditionalFormatting sqref="J9:P14">
    <cfRule type="expression" dxfId="40" priority="11">
      <formula>MONTH(J9)&lt;&gt;$J$6</formula>
    </cfRule>
    <cfRule type="expression" dxfId="33" priority="18">
      <formula>J9=TODAY()</formula>
    </cfRule>
    <cfRule type="expression" dxfId="32" priority="19">
      <formula>WEEKDAY(J9,2)&gt;5</formula>
    </cfRule>
  </conditionalFormatting>
  <conditionalFormatting sqref="R9:X14">
    <cfRule type="expression" dxfId="28" priority="27">
      <formula>R9=TODAY()</formula>
    </cfRule>
    <cfRule type="expression" dxfId="27" priority="28">
      <formula>WEEKDAY(R9,2)&gt;5</formula>
    </cfRule>
    <cfRule type="expression" dxfId="26" priority="20">
      <formula>MONTH(R9)&lt;&gt;$R$6</formula>
    </cfRule>
  </conditionalFormatting>
  <conditionalFormatting sqref="Z8:AI47">
    <cfRule type="expression" dxfId="22" priority="43">
      <formula>AND($Z8&lt;&gt;"",MOD($Z8,2)=0)</formula>
    </cfRule>
  </conditionalFormatting>
  <conditionalFormatting sqref="AC8:AC47">
    <cfRule type="cellIs" dxfId="21" priority="34" operator="equal">
      <formula>"Soft Skill"</formula>
    </cfRule>
    <cfRule type="cellIs" dxfId="20" priority="35" operator="equal">
      <formula>"Compliance"</formula>
    </cfRule>
    <cfRule type="cellIs" dxfId="19" priority="36" operator="equal">
      <formula>"Leadership"</formula>
    </cfRule>
    <cfRule type="cellIs" dxfId="18" priority="37" operator="equal">
      <formula>"Hội nhập"</formula>
    </cfRule>
    <cfRule type="cellIs" dxfId="17" priority="33" operator="equal">
      <formula>"Technical"</formula>
    </cfRule>
  </conditionalFormatting>
  <conditionalFormatting sqref="AI8:AI47">
    <cfRule type="cellIs" dxfId="16" priority="39" operator="equal">
      <formula>"Đang diễn ra"</formula>
    </cfRule>
    <cfRule type="cellIs" dxfId="15" priority="40" operator="equal">
      <formula>"Sắp diễn ra"</formula>
    </cfRule>
    <cfRule type="cellIs" dxfId="14" priority="41" operator="equal">
      <formula>"Hủy"</formula>
    </cfRule>
    <cfRule type="cellIs" dxfId="13" priority="42" operator="equal">
      <formula>"Hoãn"</formula>
    </cfRule>
    <cfRule type="cellIs" dxfId="12" priority="38" operator="equal">
      <formula>"Đã hoàn thành"</formula>
    </cfRule>
  </conditionalFormatting>
  <dataValidations count="2">
    <dataValidation type="list" sqref="T2" xr:uid="{00000000-0002-0000-0100-000000000000}">
      <formula1>"2024,2025,2026,2027,2028,2029,2030"</formula1>
      <formula2>0</formula2>
    </dataValidation>
    <dataValidation type="list" sqref="W2" xr:uid="{00000000-0002-0000-0100-000001000000}">
      <formula1>"1,2,3,4"</formula1>
      <formula2>0</formula2>
    </dataValidation>
  </dataValidations>
  <pageMargins left="0.75" right="0.75" top="1" bottom="1" header="0.511811023622047" footer="0.5"/>
  <pageSetup fitToHeight="0" orientation="landscape" horizontalDpi="300" verticalDpi="300"/>
  <headerFooter>
    <oddFooter>&amp;L&amp;8Vinh Phan | vinhphan.io.vn&amp;R&amp;8Trang &amp;P/&amp;N</oddFooter>
  </headerFooter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id="{00000000-000E-0000-0100-00001D000000}">
            <xm:f>AND(ISNUMBER(B22),B22&gt;='Cài đặt'!$C$14)</xm:f>
            <x14:dxf>
              <font>
                <b/>
                <sz val="20"/>
                <color rgb="FF1E8449"/>
                <name val="Tahoma"/>
                <charset val="1"/>
              </font>
            </x14:dxf>
          </x14:cfRule>
          <x14:cfRule type="expression" priority="30" id="{00000000-000E-0000-0100-00001E000000}">
            <xm:f>AND(ISNUMBER(B22),B22&lt;'Cài đặt'!$C$14)</xm:f>
            <x14:dxf>
              <font>
                <b/>
                <sz val="20"/>
                <color rgb="FFC0392B"/>
                <name val="Tahoma"/>
                <charset val="1"/>
              </font>
            </x14:dxf>
          </x14:cfRule>
          <xm:sqref>B22</xm:sqref>
        </x14:conditionalFormatting>
        <x14:conditionalFormatting xmlns:xm="http://schemas.microsoft.com/office/excel/2006/main">
          <x14:cfRule type="expression" priority="3" id="{00000000-000E-0000-0100-000003000000}">
            <xm:f>COUNTIFS(Data!$E$7:$E$206,"&lt;="&amp;B9,Data!$F$7:$F$206,"&gt;="&amp;B9,Data!$T$7:$T$206,"")&gt;1</xm:f>
            <x14:dxf>
              <font>
                <b/>
                <color rgb="FF8A3B0E"/>
                <name val="Tahoma"/>
                <charset val="1"/>
              </font>
              <fill>
                <patternFill>
                  <bgColor rgb="FFF6B48C"/>
                </patternFill>
              </fill>
            </x14:dxf>
          </x14:cfRule>
          <x14:cfRule type="expression" priority="4" id="{00000000-000E-0000-0100-000004000000}">
            <xm:f>COUNTIFS(Data!$E$7:$E$206,"&lt;="&amp;B9,Data!$F$7:$F$206,"&gt;="&amp;B9,Data!$T$7:$T$206,"",Data!$D$7:$D$206,"Technical")&gt;0</xm:f>
            <x14:dxf>
              <font>
                <b/>
                <color rgb="FF1B4F72"/>
                <name val="Tahoma"/>
                <charset val="1"/>
              </font>
              <fill>
                <patternFill>
                  <bgColor rgb="FFA9CFEA"/>
                </patternFill>
              </fill>
            </x14:dxf>
          </x14:cfRule>
          <x14:cfRule type="expression" priority="5" id="{00000000-000E-0000-0100-000005000000}">
            <xm:f>COUNTIFS(Data!$E$7:$E$206,"&lt;="&amp;B9,Data!$F$7:$F$206,"&gt;="&amp;B9,Data!$T$7:$T$206,"",Data!$D$7:$D$206,"Soft Skill")&gt;0</xm:f>
            <x14:dxf>
              <font>
                <b/>
                <color rgb="FF2F5A1F"/>
                <name val="Tahoma"/>
                <charset val="1"/>
              </font>
              <fill>
                <patternFill>
                  <bgColor rgb="FFBFE3B0"/>
                </patternFill>
              </fill>
            </x14:dxf>
          </x14:cfRule>
          <x14:cfRule type="expression" priority="6" id="{00000000-000E-0000-0100-000006000000}">
            <xm:f>COUNTIFS(Data!$E$7:$E$206,"&lt;="&amp;B9,Data!$F$7:$F$206,"&gt;="&amp;B9,Data!$T$7:$T$206,"",Data!$D$7:$D$206,"Compliance")&gt;0</xm:f>
            <x14:dxf>
              <font>
                <b/>
                <color rgb="FF7A5B00"/>
                <name val="Tahoma"/>
                <charset val="1"/>
              </font>
              <fill>
                <patternFill>
                  <bgColor rgb="FFFFE08A"/>
                </patternFill>
              </fill>
            </x14:dxf>
          </x14:cfRule>
          <x14:cfRule type="expression" priority="7" id="{00000000-000E-0000-0100-000007000000}">
            <xm:f>COUNTIFS(Data!$E$7:$E$206,"&lt;="&amp;B9,Data!$F$7:$F$206,"&gt;="&amp;B9,Data!$T$7:$T$206,"",Data!$D$7:$D$206,"Leadership")&gt;0</xm:f>
            <x14:dxf>
              <font>
                <b/>
                <color rgb="FF4B2A80"/>
                <name val="Tahoma"/>
                <charset val="1"/>
              </font>
              <fill>
                <patternFill>
                  <bgColor rgb="FFD8C8F0"/>
                </patternFill>
              </fill>
            </x14:dxf>
          </x14:cfRule>
          <x14:cfRule type="expression" priority="8" id="{00000000-000E-0000-0100-000008000000}">
            <xm:f>COUNTIFS(Data!$E$7:$E$206,"&lt;="&amp;B9,Data!$F$7:$F$206,"&gt;="&amp;B9,Data!$T$7:$T$206,"",Data!$D$7:$D$206,"Hội nhập")&gt;0</xm:f>
            <x14:dxf>
              <font>
                <b/>
                <color rgb="FF0E5E57"/>
                <name val="Tahoma"/>
                <charset val="1"/>
              </font>
              <fill>
                <patternFill>
                  <bgColor rgb="FFA6E0D9"/>
                </patternFill>
              </fill>
            </x14:dxf>
          </x14:cfRule>
          <xm:sqref>B9:H14</xm:sqref>
        </x14:conditionalFormatting>
        <x14:conditionalFormatting xmlns:xm="http://schemas.microsoft.com/office/excel/2006/main">
          <x14:cfRule type="expression" priority="31" id="{00000000-000E-0000-0100-00001F000000}">
            <xm:f>AND(ISNUMBER(H22),H22&gt;='Cài đặt'!$C$15)</xm:f>
            <x14:dxf>
              <font>
                <b/>
                <sz val="20"/>
                <color rgb="FF1E8449"/>
                <name val="Tahoma"/>
                <charset val="1"/>
              </font>
            </x14:dxf>
          </x14:cfRule>
          <x14:cfRule type="expression" priority="32" id="{00000000-000E-0000-0100-000020000000}">
            <xm:f>AND(ISNUMBER(H22),H22&lt;'Cài đặt'!$C$15)</xm:f>
            <x14:dxf>
              <font>
                <b/>
                <sz val="20"/>
                <color rgb="FFC0392B"/>
                <name val="Tahoma"/>
                <charset val="1"/>
              </font>
            </x14:dxf>
          </x14:cfRule>
          <xm:sqref>H22</xm:sqref>
        </x14:conditionalFormatting>
        <x14:conditionalFormatting xmlns:xm="http://schemas.microsoft.com/office/excel/2006/main">
          <x14:cfRule type="expression" priority="12" id="{00000000-000E-0000-0100-00000C000000}">
            <xm:f>COUNTIFS(Data!$E$7:$E$206,"&lt;="&amp;J9,Data!$F$7:$F$206,"&gt;="&amp;J9,Data!$T$7:$T$206,"")&gt;1</xm:f>
            <x14:dxf>
              <font>
                <b/>
                <color rgb="FF8A3B0E"/>
                <name val="Tahoma"/>
                <charset val="1"/>
              </font>
              <fill>
                <patternFill>
                  <bgColor rgb="FFF6B48C"/>
                </patternFill>
              </fill>
            </x14:dxf>
          </x14:cfRule>
          <x14:cfRule type="expression" priority="13" id="{00000000-000E-0000-0100-00000D000000}">
            <xm:f>COUNTIFS(Data!$E$7:$E$206,"&lt;="&amp;J9,Data!$F$7:$F$206,"&gt;="&amp;J9,Data!$T$7:$T$206,"",Data!$D$7:$D$206,"Technical")&gt;0</xm:f>
            <x14:dxf>
              <font>
                <b/>
                <color rgb="FF1B4F72"/>
                <name val="Tahoma"/>
                <charset val="1"/>
              </font>
              <fill>
                <patternFill>
                  <bgColor rgb="FFA9CFEA"/>
                </patternFill>
              </fill>
            </x14:dxf>
          </x14:cfRule>
          <x14:cfRule type="expression" priority="14" id="{00000000-000E-0000-0100-00000E000000}">
            <xm:f>COUNTIFS(Data!$E$7:$E$206,"&lt;="&amp;J9,Data!$F$7:$F$206,"&gt;="&amp;J9,Data!$T$7:$T$206,"",Data!$D$7:$D$206,"Soft Skill")&gt;0</xm:f>
            <x14:dxf>
              <font>
                <b/>
                <color rgb="FF2F5A1F"/>
                <name val="Tahoma"/>
                <charset val="1"/>
              </font>
              <fill>
                <patternFill>
                  <bgColor rgb="FFBFE3B0"/>
                </patternFill>
              </fill>
            </x14:dxf>
          </x14:cfRule>
          <x14:cfRule type="expression" priority="15" id="{00000000-000E-0000-0100-00000F000000}">
            <xm:f>COUNTIFS(Data!$E$7:$E$206,"&lt;="&amp;J9,Data!$F$7:$F$206,"&gt;="&amp;J9,Data!$T$7:$T$206,"",Data!$D$7:$D$206,"Compliance")&gt;0</xm:f>
            <x14:dxf>
              <font>
                <b/>
                <color rgb="FF7A5B00"/>
                <name val="Tahoma"/>
                <charset val="1"/>
              </font>
              <fill>
                <patternFill>
                  <bgColor rgb="FFFFE08A"/>
                </patternFill>
              </fill>
            </x14:dxf>
          </x14:cfRule>
          <x14:cfRule type="expression" priority="16" id="{00000000-000E-0000-0100-000010000000}">
            <xm:f>COUNTIFS(Data!$E$7:$E$206,"&lt;="&amp;J9,Data!$F$7:$F$206,"&gt;="&amp;J9,Data!$T$7:$T$206,"",Data!$D$7:$D$206,"Leadership")&gt;0</xm:f>
            <x14:dxf>
              <font>
                <b/>
                <color rgb="FF4B2A80"/>
                <name val="Tahoma"/>
                <charset val="1"/>
              </font>
              <fill>
                <patternFill>
                  <bgColor rgb="FFD8C8F0"/>
                </patternFill>
              </fill>
            </x14:dxf>
          </x14:cfRule>
          <x14:cfRule type="expression" priority="17" id="{00000000-000E-0000-0100-000011000000}">
            <xm:f>COUNTIFS(Data!$E$7:$E$206,"&lt;="&amp;J9,Data!$F$7:$F$206,"&gt;="&amp;J9,Data!$T$7:$T$206,"",Data!$D$7:$D$206,"Hội nhập")&gt;0</xm:f>
            <x14:dxf>
              <font>
                <b/>
                <color rgb="FF0E5E57"/>
                <name val="Tahoma"/>
                <charset val="1"/>
              </font>
              <fill>
                <patternFill>
                  <bgColor rgb="FFA6E0D9"/>
                </patternFill>
              </fill>
            </x14:dxf>
          </x14:cfRule>
          <xm:sqref>J9:P14</xm:sqref>
        </x14:conditionalFormatting>
        <x14:conditionalFormatting xmlns:xm="http://schemas.microsoft.com/office/excel/2006/main">
          <x14:cfRule type="expression" priority="24" id="{00000000-000E-0000-0100-000018000000}">
            <xm:f>COUNTIFS(Data!$E$7:$E$206,"&lt;="&amp;R9,Data!$F$7:$F$206,"&gt;="&amp;R9,Data!$T$7:$T$206,"",Data!$D$7:$D$206,"Compliance")&gt;0</xm:f>
            <x14:dxf>
              <font>
                <b/>
                <color rgb="FF7A5B00"/>
                <name val="Tahoma"/>
                <charset val="1"/>
              </font>
              <fill>
                <patternFill>
                  <bgColor rgb="FFFFE08A"/>
                </patternFill>
              </fill>
            </x14:dxf>
          </x14:cfRule>
          <x14:cfRule type="expression" priority="25" id="{00000000-000E-0000-0100-000019000000}">
            <xm:f>COUNTIFS(Data!$E$7:$E$206,"&lt;="&amp;R9,Data!$F$7:$F$206,"&gt;="&amp;R9,Data!$T$7:$T$206,"",Data!$D$7:$D$206,"Leadership")&gt;0</xm:f>
            <x14:dxf>
              <font>
                <b/>
                <color rgb="FF4B2A80"/>
                <name val="Tahoma"/>
                <charset val="1"/>
              </font>
              <fill>
                <patternFill>
                  <bgColor rgb="FFD8C8F0"/>
                </patternFill>
              </fill>
            </x14:dxf>
          </x14:cfRule>
          <x14:cfRule type="expression" priority="26" id="{00000000-000E-0000-0100-00001A000000}">
            <xm:f>COUNTIFS(Data!$E$7:$E$206,"&lt;="&amp;R9,Data!$F$7:$F$206,"&gt;="&amp;R9,Data!$T$7:$T$206,"",Data!$D$7:$D$206,"Hội nhập")&gt;0</xm:f>
            <x14:dxf>
              <font>
                <b/>
                <color rgb="FF0E5E57"/>
                <name val="Tahoma"/>
                <charset val="1"/>
              </font>
              <fill>
                <patternFill>
                  <bgColor rgb="FFA6E0D9"/>
                </patternFill>
              </fill>
            </x14:dxf>
          </x14:cfRule>
          <x14:cfRule type="expression" priority="21" id="{00000000-000E-0000-0100-000015000000}">
            <xm:f>COUNTIFS(Data!$E$7:$E$206,"&lt;="&amp;R9,Data!$F$7:$F$206,"&gt;="&amp;R9,Data!$T$7:$T$206,"")&gt;1</xm:f>
            <x14:dxf>
              <font>
                <b/>
                <color rgb="FF8A3B0E"/>
                <name val="Tahoma"/>
                <charset val="1"/>
              </font>
              <fill>
                <patternFill>
                  <bgColor rgb="FFF6B48C"/>
                </patternFill>
              </fill>
            </x14:dxf>
          </x14:cfRule>
          <x14:cfRule type="expression" priority="22" id="{00000000-000E-0000-0100-000016000000}">
            <xm:f>COUNTIFS(Data!$E$7:$E$206,"&lt;="&amp;R9,Data!$F$7:$F$206,"&gt;="&amp;R9,Data!$T$7:$T$206,"",Data!$D$7:$D$206,"Technical")&gt;0</xm:f>
            <x14:dxf>
              <font>
                <b/>
                <color rgb="FF1B4F72"/>
                <name val="Tahoma"/>
                <charset val="1"/>
              </font>
              <fill>
                <patternFill>
                  <bgColor rgb="FFA9CFEA"/>
                </patternFill>
              </fill>
            </x14:dxf>
          </x14:cfRule>
          <x14:cfRule type="expression" priority="23" id="{00000000-000E-0000-0100-000017000000}">
            <xm:f>COUNTIFS(Data!$E$7:$E$206,"&lt;="&amp;R9,Data!$F$7:$F$206,"&gt;="&amp;R9,Data!$T$7:$T$206,"",Data!$D$7:$D$206,"Soft Skill")&gt;0</xm:f>
            <x14:dxf>
              <font>
                <b/>
                <color rgb="FF2F5A1F"/>
                <name val="Tahoma"/>
                <charset val="1"/>
              </font>
              <fill>
                <patternFill>
                  <bgColor rgb="FFBFE3B0"/>
                </patternFill>
              </fill>
            </x14:dxf>
          </x14:cfRule>
          <xm:sqref>R9:X14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8B8F"/>
    <pageSetUpPr fitToPage="1"/>
  </sheetPr>
  <dimension ref="A1:AA206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45" sqref="B45"/>
    </sheetView>
  </sheetViews>
  <sheetFormatPr defaultColWidth="8.7109375" defaultRowHeight="15" x14ac:dyDescent="0.25"/>
  <cols>
    <col min="1" max="1" width="6" customWidth="1"/>
    <col min="2" max="2" width="11" customWidth="1"/>
    <col min="3" max="3" width="38" customWidth="1"/>
    <col min="4" max="4" width="13" customWidth="1"/>
    <col min="5" max="6" width="12" customWidth="1"/>
    <col min="7" max="7" width="9" customWidth="1"/>
    <col min="8" max="8" width="7" customWidth="1"/>
    <col min="9" max="9" width="8" customWidth="1"/>
    <col min="10" max="10" width="22" customWidth="1"/>
    <col min="11" max="11" width="11" customWidth="1"/>
    <col min="12" max="12" width="10" customWidth="1"/>
    <col min="13" max="13" width="18" customWidth="1"/>
    <col min="14" max="14" width="15" customWidth="1"/>
    <col min="15" max="16" width="8" customWidth="1"/>
    <col min="17" max="17" width="9" customWidth="1"/>
    <col min="18" max="18" width="14" customWidth="1"/>
    <col min="19" max="19" width="10" customWidth="1"/>
    <col min="20" max="20" width="9" customWidth="1"/>
    <col min="21" max="21" width="15" customWidth="1"/>
    <col min="22" max="22" width="6" customWidth="1"/>
    <col min="23" max="23" width="7" customWidth="1"/>
    <col min="24" max="24" width="8" customWidth="1"/>
    <col min="25" max="25" width="34" customWidth="1"/>
    <col min="26" max="26" width="9" customWidth="1"/>
    <col min="27" max="27" width="9" hidden="1" customWidth="1"/>
  </cols>
  <sheetData>
    <row r="1" spans="1:27" ht="33.75" customHeight="1" x14ac:dyDescent="0.4">
      <c r="A1" s="2"/>
      <c r="B1" s="2"/>
      <c r="C1" s="3" t="s">
        <v>84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1.75" customHeight="1" x14ac:dyDescent="0.25">
      <c r="A2" s="2"/>
      <c r="B2" s="2"/>
      <c r="C2" s="4" t="str">
        <f>'Cài đặt'!$C$7&amp;"  |  "&amp;'Cài đặt'!$C$8</f>
        <v>CÔNG TY CỔ PHẦN DƯỢC PHẨM ABC  |  Phòng Đào tạo &amp; Phát triển (L&amp;D)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4" customHeight="1" x14ac:dyDescent="0.25">
      <c r="A3" s="2"/>
      <c r="B3" s="2"/>
      <c r="C3" s="5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21.75" customHeight="1" x14ac:dyDescent="0.25">
      <c r="B5" s="61" t="s">
        <v>85</v>
      </c>
    </row>
    <row r="6" spans="1:27" ht="33.75" customHeight="1" x14ac:dyDescent="0.25">
      <c r="A6" s="62" t="s">
        <v>86</v>
      </c>
      <c r="B6" s="63" t="s">
        <v>87</v>
      </c>
      <c r="C6" s="63" t="s">
        <v>15</v>
      </c>
      <c r="D6" s="63" t="s">
        <v>16</v>
      </c>
      <c r="E6" s="63" t="s">
        <v>88</v>
      </c>
      <c r="F6" s="63" t="s">
        <v>89</v>
      </c>
      <c r="G6" s="62" t="s">
        <v>90</v>
      </c>
      <c r="H6" s="63" t="s">
        <v>91</v>
      </c>
      <c r="I6" s="62" t="s">
        <v>92</v>
      </c>
      <c r="J6" s="63" t="s">
        <v>17</v>
      </c>
      <c r="K6" s="63" t="s">
        <v>93</v>
      </c>
      <c r="L6" s="63" t="s">
        <v>19</v>
      </c>
      <c r="M6" s="63" t="s">
        <v>20</v>
      </c>
      <c r="N6" s="63" t="s">
        <v>94</v>
      </c>
      <c r="O6" s="63" t="s">
        <v>95</v>
      </c>
      <c r="P6" s="63" t="s">
        <v>96</v>
      </c>
      <c r="Q6" s="62" t="s">
        <v>97</v>
      </c>
      <c r="R6" s="63" t="s">
        <v>98</v>
      </c>
      <c r="S6" s="63" t="s">
        <v>99</v>
      </c>
      <c r="T6" s="63" t="s">
        <v>100</v>
      </c>
      <c r="U6" s="62" t="s">
        <v>76</v>
      </c>
      <c r="V6" s="62" t="s">
        <v>101</v>
      </c>
      <c r="W6" s="62" t="s">
        <v>102</v>
      </c>
      <c r="X6" s="62" t="s">
        <v>103</v>
      </c>
      <c r="Y6" s="63" t="s">
        <v>104</v>
      </c>
      <c r="Z6" s="62" t="s">
        <v>105</v>
      </c>
      <c r="AA6" s="62" t="s">
        <v>106</v>
      </c>
    </row>
    <row r="7" spans="1:27" ht="18.75" customHeight="1" x14ac:dyDescent="0.25">
      <c r="A7" s="64">
        <f t="shared" ref="A7:A38" si="0">IF(C7="","",ROW()-6)</f>
        <v>1</v>
      </c>
      <c r="B7" s="65" t="s">
        <v>107</v>
      </c>
      <c r="C7" s="66" t="s">
        <v>108</v>
      </c>
      <c r="D7" s="65" t="s">
        <v>68</v>
      </c>
      <c r="E7" s="67">
        <v>46027</v>
      </c>
      <c r="F7" s="67">
        <v>46027</v>
      </c>
      <c r="G7" s="64">
        <f t="shared" ref="G7:G38" si="1">IF(OR(E7="",F7=""),"",NETWORKDAYS(E7,F7))</f>
        <v>1</v>
      </c>
      <c r="H7" s="65">
        <v>4</v>
      </c>
      <c r="I7" s="64">
        <f t="shared" ref="I7:I38" si="2">IF(OR(G7="",H7=""),"",G7*H7)</f>
        <v>4</v>
      </c>
      <c r="J7" s="66" t="s">
        <v>109</v>
      </c>
      <c r="K7" s="65" t="s">
        <v>38</v>
      </c>
      <c r="L7" s="65" t="s">
        <v>51</v>
      </c>
      <c r="M7" s="66" t="s">
        <v>110</v>
      </c>
      <c r="N7" s="65" t="s">
        <v>111</v>
      </c>
      <c r="O7" s="65">
        <v>18</v>
      </c>
      <c r="P7" s="65">
        <v>17</v>
      </c>
      <c r="Q7" s="68">
        <f t="shared" ref="Q7:Q38" si="3">IF(OR(O7="",O7=0,P7=""),"",P7/O7)</f>
        <v>0.944444444444444</v>
      </c>
      <c r="R7" s="69">
        <v>0</v>
      </c>
      <c r="S7" s="70">
        <v>4.3</v>
      </c>
      <c r="T7" s="65"/>
      <c r="U7" s="64" t="str">
        <f t="shared" ref="U7:U38" ca="1" si="4">IF(C7="","",IF(T7&lt;&gt;"",T7,IF(E7="","Chưa xếp lịch",IF(TODAY()&lt;E7,"Sắp diễn ra",IF(TODAY()&gt;F7,"Đã hoàn thành","Đang diễn ra")))))</f>
        <v>Đã hoàn thành</v>
      </c>
      <c r="V7" s="64" t="str">
        <f t="shared" ref="V7:V38" si="5">IF(E7="","","Q"&amp;ROUNDUP(MONTH(E7)/3,0))</f>
        <v>Q1</v>
      </c>
      <c r="W7" s="64">
        <f t="shared" ref="W7:W38" si="6">IF(E7="","",YEAR(E7))</f>
        <v>2026</v>
      </c>
      <c r="X7" s="64" t="str">
        <f>IF(E7="","",IF(AND(YEAR(E7)=Lịch!$T$2,ROUNDUP(MONTH(E7)/3,0)=Lịch!$W$2),MAX(X$6:X6)+1,""))</f>
        <v/>
      </c>
      <c r="Y7" s="66"/>
      <c r="Z7" s="71">
        <f t="shared" ref="Z7:Z38" si="7">IF(OR(I7="",P7=""),"",I7*P7)</f>
        <v>68</v>
      </c>
      <c r="AA7" s="72" t="str">
        <f t="shared" ref="AA7:AA38" ca="1" si="8">IF(AND(C7&lt;&gt;"",T7="",E7&lt;&gt;"",F7&gt;=TODAY()),E7+ROW()/100000,"")</f>
        <v/>
      </c>
    </row>
    <row r="8" spans="1:27" ht="18.75" customHeight="1" x14ac:dyDescent="0.25">
      <c r="A8" s="64">
        <f t="shared" si="0"/>
        <v>2</v>
      </c>
      <c r="B8" s="73" t="s">
        <v>112</v>
      </c>
      <c r="C8" s="74" t="s">
        <v>113</v>
      </c>
      <c r="D8" s="73" t="s">
        <v>70</v>
      </c>
      <c r="E8" s="75">
        <v>46036</v>
      </c>
      <c r="F8" s="75">
        <v>46037</v>
      </c>
      <c r="G8" s="64">
        <f t="shared" si="1"/>
        <v>2</v>
      </c>
      <c r="H8" s="73">
        <v>8</v>
      </c>
      <c r="I8" s="64">
        <f t="shared" si="2"/>
        <v>16</v>
      </c>
      <c r="J8" s="74" t="s">
        <v>114</v>
      </c>
      <c r="K8" s="73" t="s">
        <v>38</v>
      </c>
      <c r="L8" s="73" t="s">
        <v>49</v>
      </c>
      <c r="M8" s="74" t="s">
        <v>155</v>
      </c>
      <c r="N8" s="73" t="s">
        <v>116</v>
      </c>
      <c r="O8" s="73">
        <v>40</v>
      </c>
      <c r="P8" s="73">
        <v>38</v>
      </c>
      <c r="Q8" s="68">
        <f t="shared" si="3"/>
        <v>0.95</v>
      </c>
      <c r="R8" s="76">
        <v>0</v>
      </c>
      <c r="S8" s="77">
        <v>4.5</v>
      </c>
      <c r="T8" s="73"/>
      <c r="U8" s="64" t="str">
        <f t="shared" ca="1" si="4"/>
        <v>Đã hoàn thành</v>
      </c>
      <c r="V8" s="64" t="str">
        <f t="shared" si="5"/>
        <v>Q1</v>
      </c>
      <c r="W8" s="64">
        <f t="shared" si="6"/>
        <v>2026</v>
      </c>
      <c r="X8" s="64" t="str">
        <f>IF(E8="","",IF(AND(YEAR(E8)=Lịch!$T$2,ROUNDUP(MONTH(E8)/3,0)=Lịch!$W$2),MAX(X$6:X7)+1,""))</f>
        <v/>
      </c>
      <c r="Y8" s="74"/>
      <c r="Z8" s="71">
        <f t="shared" si="7"/>
        <v>608</v>
      </c>
      <c r="AA8" s="72" t="str">
        <f t="shared" ca="1" si="8"/>
        <v/>
      </c>
    </row>
    <row r="9" spans="1:27" ht="18.75" customHeight="1" x14ac:dyDescent="0.25">
      <c r="A9" s="64">
        <f t="shared" si="0"/>
        <v>3</v>
      </c>
      <c r="B9" s="65" t="s">
        <v>117</v>
      </c>
      <c r="C9" s="66" t="s">
        <v>118</v>
      </c>
      <c r="D9" s="65" t="s">
        <v>69</v>
      </c>
      <c r="E9" s="67">
        <v>46048</v>
      </c>
      <c r="F9" s="67">
        <v>46049</v>
      </c>
      <c r="G9" s="64">
        <f t="shared" si="1"/>
        <v>2</v>
      </c>
      <c r="H9" s="65">
        <v>8</v>
      </c>
      <c r="I9" s="64">
        <f t="shared" si="2"/>
        <v>16</v>
      </c>
      <c r="J9" s="66" t="s">
        <v>279</v>
      </c>
      <c r="K9" s="65" t="s">
        <v>40</v>
      </c>
      <c r="L9" s="65" t="s">
        <v>49</v>
      </c>
      <c r="M9" s="66" t="s">
        <v>155</v>
      </c>
      <c r="N9" s="65" t="s">
        <v>121</v>
      </c>
      <c r="O9" s="65">
        <v>30</v>
      </c>
      <c r="P9" s="65">
        <v>27</v>
      </c>
      <c r="Q9" s="68">
        <f t="shared" si="3"/>
        <v>0.9</v>
      </c>
      <c r="R9" s="69">
        <v>24000000</v>
      </c>
      <c r="S9" s="70">
        <v>4.4</v>
      </c>
      <c r="T9" s="65"/>
      <c r="U9" s="64" t="str">
        <f t="shared" ca="1" si="4"/>
        <v>Đã hoàn thành</v>
      </c>
      <c r="V9" s="64" t="str">
        <f t="shared" si="5"/>
        <v>Q1</v>
      </c>
      <c r="W9" s="64">
        <f t="shared" si="6"/>
        <v>2026</v>
      </c>
      <c r="X9" s="64" t="str">
        <f>IF(E9="","",IF(AND(YEAR(E9)=Lịch!$T$2,ROUNDUP(MONTH(E9)/3,0)=Lịch!$W$2),MAX(X$6:X8)+1,""))</f>
        <v/>
      </c>
      <c r="Y9" s="66"/>
      <c r="Z9" s="71">
        <f t="shared" si="7"/>
        <v>432</v>
      </c>
      <c r="AA9" s="72" t="str">
        <f t="shared" ca="1" si="8"/>
        <v/>
      </c>
    </row>
    <row r="10" spans="1:27" ht="18.75" customHeight="1" x14ac:dyDescent="0.25">
      <c r="A10" s="64">
        <f t="shared" si="0"/>
        <v>4</v>
      </c>
      <c r="B10" s="73" t="s">
        <v>122</v>
      </c>
      <c r="C10" s="74" t="s">
        <v>123</v>
      </c>
      <c r="D10" s="73" t="s">
        <v>72</v>
      </c>
      <c r="E10" s="75">
        <v>46050</v>
      </c>
      <c r="F10" s="75">
        <v>46050</v>
      </c>
      <c r="G10" s="64">
        <f t="shared" si="1"/>
        <v>1</v>
      </c>
      <c r="H10" s="73">
        <v>4</v>
      </c>
      <c r="I10" s="64">
        <f t="shared" si="2"/>
        <v>4</v>
      </c>
      <c r="J10" s="74" t="s">
        <v>150</v>
      </c>
      <c r="K10" s="73" t="s">
        <v>38</v>
      </c>
      <c r="L10" s="73" t="s">
        <v>49</v>
      </c>
      <c r="M10" s="74" t="s">
        <v>155</v>
      </c>
      <c r="N10" s="73" t="s">
        <v>125</v>
      </c>
      <c r="O10" s="73">
        <v>22</v>
      </c>
      <c r="P10" s="73">
        <v>21</v>
      </c>
      <c r="Q10" s="68">
        <f t="shared" si="3"/>
        <v>0.954545454545455</v>
      </c>
      <c r="R10" s="76">
        <v>1000000</v>
      </c>
      <c r="S10" s="77">
        <v>4.5</v>
      </c>
      <c r="T10" s="73"/>
      <c r="U10" s="64" t="str">
        <f t="shared" ca="1" si="4"/>
        <v>Đã hoàn thành</v>
      </c>
      <c r="V10" s="64" t="str">
        <f t="shared" si="5"/>
        <v>Q1</v>
      </c>
      <c r="W10" s="64">
        <f t="shared" si="6"/>
        <v>2026</v>
      </c>
      <c r="X10" s="64" t="str">
        <f>IF(E10="","",IF(AND(YEAR(E10)=Lịch!$T$2,ROUNDUP(MONTH(E10)/3,0)=Lịch!$W$2),MAX(X$6:X9)+1,""))</f>
        <v/>
      </c>
      <c r="Y10" s="74"/>
      <c r="Z10" s="71">
        <f t="shared" si="7"/>
        <v>84</v>
      </c>
      <c r="AA10" s="72" t="str">
        <f t="shared" ca="1" si="8"/>
        <v/>
      </c>
    </row>
    <row r="11" spans="1:27" ht="18.75" customHeight="1" x14ac:dyDescent="0.25">
      <c r="A11" s="64">
        <f t="shared" si="0"/>
        <v>5</v>
      </c>
      <c r="B11" s="65" t="s">
        <v>126</v>
      </c>
      <c r="C11" s="66" t="s">
        <v>127</v>
      </c>
      <c r="D11" s="65" t="s">
        <v>70</v>
      </c>
      <c r="E11" s="67">
        <v>46069</v>
      </c>
      <c r="F11" s="67">
        <v>46069</v>
      </c>
      <c r="G11" s="64">
        <f t="shared" si="1"/>
        <v>1</v>
      </c>
      <c r="H11" s="65">
        <v>4</v>
      </c>
      <c r="I11" s="64">
        <f t="shared" si="2"/>
        <v>4</v>
      </c>
      <c r="J11" s="66" t="s">
        <v>114</v>
      </c>
      <c r="K11" s="65" t="s">
        <v>38</v>
      </c>
      <c r="L11" s="65" t="s">
        <v>49</v>
      </c>
      <c r="M11" s="66" t="s">
        <v>136</v>
      </c>
      <c r="N11" s="65" t="s">
        <v>129</v>
      </c>
      <c r="O11" s="65">
        <v>20</v>
      </c>
      <c r="P11" s="65">
        <v>18</v>
      </c>
      <c r="Q11" s="68">
        <f t="shared" si="3"/>
        <v>0.9</v>
      </c>
      <c r="R11" s="69">
        <v>0</v>
      </c>
      <c r="S11" s="70">
        <v>4.1</v>
      </c>
      <c r="T11" s="65"/>
      <c r="U11" s="64" t="str">
        <f t="shared" ca="1" si="4"/>
        <v>Đã hoàn thành</v>
      </c>
      <c r="V11" s="64" t="str">
        <f t="shared" si="5"/>
        <v>Q1</v>
      </c>
      <c r="W11" s="64">
        <f t="shared" si="6"/>
        <v>2026</v>
      </c>
      <c r="X11" s="64" t="str">
        <f>IF(E11="","",IF(AND(YEAR(E11)=Lịch!$T$2,ROUNDUP(MONTH(E11)/3,0)=Lịch!$W$2),MAX(X$6:X10)+1,""))</f>
        <v/>
      </c>
      <c r="Y11" s="66"/>
      <c r="Z11" s="71">
        <f t="shared" si="7"/>
        <v>72</v>
      </c>
      <c r="AA11" s="72" t="str">
        <f t="shared" ca="1" si="8"/>
        <v/>
      </c>
    </row>
    <row r="12" spans="1:27" ht="18.75" customHeight="1" x14ac:dyDescent="0.25">
      <c r="A12" s="64">
        <f t="shared" si="0"/>
        <v>6</v>
      </c>
      <c r="B12" s="73" t="s">
        <v>130</v>
      </c>
      <c r="C12" s="74" t="s">
        <v>131</v>
      </c>
      <c r="D12" s="73" t="s">
        <v>71</v>
      </c>
      <c r="E12" s="75">
        <v>46071</v>
      </c>
      <c r="F12" s="75">
        <v>46071</v>
      </c>
      <c r="G12" s="64">
        <f t="shared" si="1"/>
        <v>1</v>
      </c>
      <c r="H12" s="73">
        <v>8</v>
      </c>
      <c r="I12" s="64">
        <f t="shared" si="2"/>
        <v>8</v>
      </c>
      <c r="J12" s="74" t="s">
        <v>279</v>
      </c>
      <c r="K12" s="73" t="s">
        <v>40</v>
      </c>
      <c r="L12" s="73" t="s">
        <v>49</v>
      </c>
      <c r="M12" s="74" t="s">
        <v>155</v>
      </c>
      <c r="N12" s="73" t="s">
        <v>125</v>
      </c>
      <c r="O12" s="73">
        <v>20</v>
      </c>
      <c r="P12" s="73">
        <v>19</v>
      </c>
      <c r="Q12" s="68">
        <f t="shared" si="3"/>
        <v>0.95</v>
      </c>
      <c r="R12" s="76">
        <v>18000000</v>
      </c>
      <c r="S12" s="77">
        <v>4.4</v>
      </c>
      <c r="T12" s="73"/>
      <c r="U12" s="64" t="str">
        <f t="shared" ca="1" si="4"/>
        <v>Đã hoàn thành</v>
      </c>
      <c r="V12" s="64" t="str">
        <f t="shared" si="5"/>
        <v>Q1</v>
      </c>
      <c r="W12" s="64">
        <f t="shared" si="6"/>
        <v>2026</v>
      </c>
      <c r="X12" s="64" t="str">
        <f>IF(E12="","",IF(AND(YEAR(E12)=Lịch!$T$2,ROUNDUP(MONTH(E12)/3,0)=Lịch!$W$2),MAX(X$6:X11)+1,""))</f>
        <v/>
      </c>
      <c r="Y12" s="74" t="s">
        <v>280</v>
      </c>
      <c r="Z12" s="71">
        <f t="shared" si="7"/>
        <v>152</v>
      </c>
      <c r="AA12" s="72" t="str">
        <f t="shared" ca="1" si="8"/>
        <v/>
      </c>
    </row>
    <row r="13" spans="1:27" ht="18.75" customHeight="1" x14ac:dyDescent="0.25">
      <c r="A13" s="64">
        <f t="shared" si="0"/>
        <v>7</v>
      </c>
      <c r="B13" s="65" t="s">
        <v>134</v>
      </c>
      <c r="C13" s="66" t="s">
        <v>135</v>
      </c>
      <c r="D13" s="65" t="s">
        <v>70</v>
      </c>
      <c r="E13" s="67">
        <v>46076</v>
      </c>
      <c r="F13" s="67">
        <v>46078</v>
      </c>
      <c r="G13" s="64">
        <f t="shared" si="1"/>
        <v>3</v>
      </c>
      <c r="H13" s="65">
        <v>8</v>
      </c>
      <c r="I13" s="64">
        <f t="shared" si="2"/>
        <v>24</v>
      </c>
      <c r="J13" s="66" t="s">
        <v>281</v>
      </c>
      <c r="K13" s="65" t="s">
        <v>40</v>
      </c>
      <c r="L13" s="65" t="s">
        <v>49</v>
      </c>
      <c r="M13" s="66" t="s">
        <v>128</v>
      </c>
      <c r="N13" s="65" t="s">
        <v>116</v>
      </c>
      <c r="O13" s="65">
        <v>25</v>
      </c>
      <c r="P13" s="65">
        <v>24</v>
      </c>
      <c r="Q13" s="68">
        <f t="shared" si="3"/>
        <v>0.96</v>
      </c>
      <c r="R13" s="69">
        <v>15000000</v>
      </c>
      <c r="S13" s="70">
        <v>4.0</v>
      </c>
      <c r="T13" s="65"/>
      <c r="U13" s="64" t="str">
        <f t="shared" ca="1" si="4"/>
        <v>Đã hoàn thành</v>
      </c>
      <c r="V13" s="64" t="str">
        <f t="shared" si="5"/>
        <v>Q1</v>
      </c>
      <c r="W13" s="64">
        <f t="shared" si="6"/>
        <v>2026</v>
      </c>
      <c r="X13" s="64" t="str">
        <f>IF(E13="","",IF(AND(YEAR(E13)=Lịch!$T$2,ROUNDUP(MONTH(E13)/3,0)=Lịch!$W$2),MAX(X$6:X12)+1,""))</f>
        <v/>
      </c>
      <c r="Y13" s="66" t="s">
        <v>282</v>
      </c>
      <c r="Z13" s="71">
        <f t="shared" si="7"/>
        <v>576</v>
      </c>
      <c r="AA13" s="72" t="str">
        <f t="shared" ca="1" si="8"/>
        <v/>
      </c>
    </row>
    <row r="14" spans="1:27" ht="18.75" customHeight="1" x14ac:dyDescent="0.25">
      <c r="A14" s="64">
        <f t="shared" si="0"/>
        <v>8</v>
      </c>
      <c r="B14" s="73" t="s">
        <v>137</v>
      </c>
      <c r="C14" s="74" t="s">
        <v>138</v>
      </c>
      <c r="D14" s="73" t="s">
        <v>68</v>
      </c>
      <c r="E14" s="75">
        <v>46090</v>
      </c>
      <c r="F14" s="75">
        <v>46090</v>
      </c>
      <c r="G14" s="64">
        <f t="shared" si="1"/>
        <v>1</v>
      </c>
      <c r="H14" s="73">
        <v>4</v>
      </c>
      <c r="I14" s="64">
        <f t="shared" si="2"/>
        <v>4</v>
      </c>
      <c r="J14" s="74" t="s">
        <v>109</v>
      </c>
      <c r="K14" s="73" t="s">
        <v>38</v>
      </c>
      <c r="L14" s="73" t="s">
        <v>51</v>
      </c>
      <c r="M14" s="74" t="s">
        <v>110</v>
      </c>
      <c r="N14" s="73" t="s">
        <v>139</v>
      </c>
      <c r="O14" s="73">
        <v>10</v>
      </c>
      <c r="P14" s="73"/>
      <c r="Q14" s="68" t="str">
        <f t="shared" si="3"/>
        <v/>
      </c>
      <c r="R14" s="76">
        <v>0</v>
      </c>
      <c r="S14" s="77"/>
      <c r="T14" s="73" t="s">
        <v>140</v>
      </c>
      <c r="U14" s="64" t="str">
        <f t="shared" ca="1" si="4"/>
        <v>Hoãn</v>
      </c>
      <c r="V14" s="64" t="str">
        <f t="shared" si="5"/>
        <v>Q1</v>
      </c>
      <c r="W14" s="64">
        <f t="shared" si="6"/>
        <v>2026</v>
      </c>
      <c r="X14" s="64" t="str">
        <f>IF(E14="","",IF(AND(YEAR(E14)=Lịch!$T$2,ROUNDUP(MONTH(E14)/3,0)=Lịch!$W$2),MAX(X$6:X13)+1,""))</f>
        <v/>
      </c>
      <c r="Y14" s="74" t="s">
        <v>283</v>
      </c>
      <c r="Z14" s="71" t="str">
        <f t="shared" si="7"/>
        <v/>
      </c>
      <c r="AA14" s="72" t="str">
        <f t="shared" ca="1" si="8"/>
        <v/>
      </c>
    </row>
    <row r="15" spans="1:27" ht="18.75" customHeight="1" x14ac:dyDescent="0.25">
      <c r="A15" s="64">
        <f t="shared" si="0"/>
        <v>9</v>
      </c>
      <c r="B15" s="65" t="s">
        <v>142</v>
      </c>
      <c r="C15" s="66" t="s">
        <v>143</v>
      </c>
      <c r="D15" s="65" t="s">
        <v>70</v>
      </c>
      <c r="E15" s="67">
        <v>46097</v>
      </c>
      <c r="F15" s="67">
        <v>46097</v>
      </c>
      <c r="G15" s="64">
        <f t="shared" si="1"/>
        <v>1</v>
      </c>
      <c r="H15" s="65">
        <v>8</v>
      </c>
      <c r="I15" s="64">
        <f t="shared" si="2"/>
        <v>8</v>
      </c>
      <c r="J15" s="66" t="s">
        <v>179</v>
      </c>
      <c r="K15" s="65" t="s">
        <v>38</v>
      </c>
      <c r="L15" s="65" t="s">
        <v>49</v>
      </c>
      <c r="M15" s="66" t="s">
        <v>155</v>
      </c>
      <c r="N15" s="65" t="s">
        <v>144</v>
      </c>
      <c r="O15" s="65">
        <v>25</v>
      </c>
      <c r="P15" s="65">
        <v>23</v>
      </c>
      <c r="Q15" s="68">
        <f t="shared" si="3"/>
        <v>0.92</v>
      </c>
      <c r="R15" s="69">
        <v>0</v>
      </c>
      <c r="S15" s="70">
        <v>4.2</v>
      </c>
      <c r="T15" s="65"/>
      <c r="U15" s="64" t="str">
        <f t="shared" ca="1" si="4"/>
        <v>Đã hoàn thành</v>
      </c>
      <c r="V15" s="64" t="str">
        <f t="shared" si="5"/>
        <v>Q1</v>
      </c>
      <c r="W15" s="64">
        <f t="shared" si="6"/>
        <v>2026</v>
      </c>
      <c r="X15" s="64" t="str">
        <f>IF(E15="","",IF(AND(YEAR(E15)=Lịch!$T$2,ROUNDUP(MONTH(E15)/3,0)=Lịch!$W$2),MAX(X$6:X14)+1,""))</f>
        <v/>
      </c>
      <c r="Y15" s="66"/>
      <c r="Z15" s="71">
        <f t="shared" si="7"/>
        <v>184</v>
      </c>
      <c r="AA15" s="72" t="str">
        <f t="shared" ca="1" si="8"/>
        <v/>
      </c>
    </row>
    <row r="16" spans="1:27" ht="18.75" customHeight="1" x14ac:dyDescent="0.25">
      <c r="A16" s="64">
        <f t="shared" si="0"/>
        <v>10</v>
      </c>
      <c r="B16" s="73" t="s">
        <v>145</v>
      </c>
      <c r="C16" s="74" t="s">
        <v>146</v>
      </c>
      <c r="D16" s="73" t="s">
        <v>69</v>
      </c>
      <c r="E16" s="75">
        <v>46105</v>
      </c>
      <c r="F16" s="75">
        <v>46105</v>
      </c>
      <c r="G16" s="64">
        <f t="shared" si="1"/>
        <v>1</v>
      </c>
      <c r="H16" s="73">
        <v>4</v>
      </c>
      <c r="I16" s="64">
        <f t="shared" si="2"/>
        <v>4</v>
      </c>
      <c r="J16" s="74" t="s">
        <v>279</v>
      </c>
      <c r="K16" s="73" t="s">
        <v>40</v>
      </c>
      <c r="L16" s="73" t="s">
        <v>49</v>
      </c>
      <c r="M16" s="74" t="s">
        <v>136</v>
      </c>
      <c r="N16" s="73" t="s">
        <v>147</v>
      </c>
      <c r="O16" s="73">
        <v>15</v>
      </c>
      <c r="P16" s="73">
        <v>14</v>
      </c>
      <c r="Q16" s="68">
        <f t="shared" si="3"/>
        <v>0.933333333333333</v>
      </c>
      <c r="R16" s="76">
        <v>12000000</v>
      </c>
      <c r="S16" s="77">
        <v>4.6</v>
      </c>
      <c r="T16" s="73"/>
      <c r="U16" s="64" t="str">
        <f t="shared" ca="1" si="4"/>
        <v>Đã hoàn thành</v>
      </c>
      <c r="V16" s="64" t="str">
        <f t="shared" si="5"/>
        <v>Q1</v>
      </c>
      <c r="W16" s="64">
        <f t="shared" si="6"/>
        <v>2026</v>
      </c>
      <c r="X16" s="64" t="str">
        <f>IF(E16="","",IF(AND(YEAR(E16)=Lịch!$T$2,ROUNDUP(MONTH(E16)/3,0)=Lịch!$W$2),MAX(X$6:X15)+1,""))</f>
        <v/>
      </c>
      <c r="Y16" s="74"/>
      <c r="Z16" s="71">
        <f t="shared" si="7"/>
        <v>56</v>
      </c>
      <c r="AA16" s="72" t="str">
        <f t="shared" ca="1" si="8"/>
        <v/>
      </c>
    </row>
    <row r="17" spans="1:27" ht="18.75" customHeight="1" x14ac:dyDescent="0.25">
      <c r="A17" s="64">
        <f t="shared" si="0"/>
        <v>11</v>
      </c>
      <c r="B17" s="65" t="s">
        <v>148</v>
      </c>
      <c r="C17" s="66" t="s">
        <v>149</v>
      </c>
      <c r="D17" s="65" t="s">
        <v>72</v>
      </c>
      <c r="E17" s="67">
        <v>46120</v>
      </c>
      <c r="F17" s="67">
        <v>46120</v>
      </c>
      <c r="G17" s="64">
        <f t="shared" si="1"/>
        <v>1</v>
      </c>
      <c r="H17" s="65">
        <v>4</v>
      </c>
      <c r="I17" s="64">
        <f t="shared" si="2"/>
        <v>4</v>
      </c>
      <c r="J17" s="66" t="s">
        <v>150</v>
      </c>
      <c r="K17" s="65" t="s">
        <v>38</v>
      </c>
      <c r="L17" s="65" t="s">
        <v>49</v>
      </c>
      <c r="M17" s="66" t="s">
        <v>155</v>
      </c>
      <c r="N17" s="65" t="s">
        <v>125</v>
      </c>
      <c r="O17" s="65">
        <v>26</v>
      </c>
      <c r="P17" s="65">
        <v>24</v>
      </c>
      <c r="Q17" s="68">
        <f t="shared" si="3"/>
        <v>0.923076923076923</v>
      </c>
      <c r="R17" s="69">
        <v>1000000</v>
      </c>
      <c r="S17" s="70">
        <v>4.3</v>
      </c>
      <c r="T17" s="65"/>
      <c r="U17" s="64" t="str">
        <f t="shared" ca="1" si="4"/>
        <v>Đã hoàn thành</v>
      </c>
      <c r="V17" s="64" t="str">
        <f t="shared" si="5"/>
        <v>Q2</v>
      </c>
      <c r="W17" s="64">
        <f t="shared" si="6"/>
        <v>2026</v>
      </c>
      <c r="X17" s="64" t="str">
        <f>IF(E17="","",IF(AND(YEAR(E17)=Lịch!$T$2,ROUNDUP(MONTH(E17)/3,0)=Lịch!$W$2),MAX(X$6:X16)+1,""))</f>
        <v/>
      </c>
      <c r="Y17" s="66"/>
      <c r="Z17" s="71">
        <f t="shared" si="7"/>
        <v>96</v>
      </c>
      <c r="AA17" s="72" t="str">
        <f t="shared" ca="1" si="8"/>
        <v/>
      </c>
    </row>
    <row r="18" spans="1:27" ht="18.75" customHeight="1" x14ac:dyDescent="0.25">
      <c r="A18" s="64">
        <f t="shared" si="0"/>
        <v>12</v>
      </c>
      <c r="B18" s="73" t="s">
        <v>151</v>
      </c>
      <c r="C18" s="74" t="s">
        <v>152</v>
      </c>
      <c r="D18" s="73" t="s">
        <v>71</v>
      </c>
      <c r="E18" s="75">
        <v>46120</v>
      </c>
      <c r="F18" s="75">
        <v>46120</v>
      </c>
      <c r="G18" s="64">
        <f t="shared" si="1"/>
        <v>1</v>
      </c>
      <c r="H18" s="73">
        <v>8</v>
      </c>
      <c r="I18" s="64">
        <f t="shared" si="2"/>
        <v>8</v>
      </c>
      <c r="J18" s="74" t="s">
        <v>279</v>
      </c>
      <c r="K18" s="73" t="s">
        <v>40</v>
      </c>
      <c r="L18" s="73" t="s">
        <v>49</v>
      </c>
      <c r="M18" s="74" t="s">
        <v>115</v>
      </c>
      <c r="N18" s="73" t="s">
        <v>125</v>
      </c>
      <c r="O18" s="73">
        <v>24</v>
      </c>
      <c r="P18" s="73">
        <v>22</v>
      </c>
      <c r="Q18" s="68">
        <f t="shared" si="3"/>
        <v>0.916666666666667</v>
      </c>
      <c r="R18" s="76">
        <v>20000000</v>
      </c>
      <c r="S18" s="77">
        <v>4.7</v>
      </c>
      <c r="T18" s="73"/>
      <c r="U18" s="64" t="str">
        <f t="shared" ca="1" si="4"/>
        <v>Đã hoàn thành</v>
      </c>
      <c r="V18" s="64" t="str">
        <f t="shared" si="5"/>
        <v>Q2</v>
      </c>
      <c r="W18" s="64">
        <f t="shared" si="6"/>
        <v>2026</v>
      </c>
      <c r="X18" s="64" t="str">
        <f>IF(E18="","",IF(AND(YEAR(E18)=Lịch!$T$2,ROUNDUP(MONTH(E18)/3,0)=Lịch!$W$2),MAX(X$6:X17)+1,""))</f>
        <v/>
      </c>
      <c r="Y18" s="74" t="s">
        <v>284</v>
      </c>
      <c r="Z18" s="71">
        <f t="shared" si="7"/>
        <v>176</v>
      </c>
      <c r="AA18" s="72" t="str">
        <f t="shared" ca="1" si="8"/>
        <v/>
      </c>
    </row>
    <row r="19" spans="1:27" ht="18.75" customHeight="1" x14ac:dyDescent="0.25">
      <c r="A19" s="64">
        <f t="shared" si="0"/>
        <v>13</v>
      </c>
      <c r="B19" s="65" t="s">
        <v>153</v>
      </c>
      <c r="C19" s="66" t="s">
        <v>154</v>
      </c>
      <c r="D19" s="65" t="s">
        <v>68</v>
      </c>
      <c r="E19" s="67">
        <v>46134</v>
      </c>
      <c r="F19" s="67">
        <v>46134</v>
      </c>
      <c r="G19" s="64">
        <f t="shared" si="1"/>
        <v>1</v>
      </c>
      <c r="H19" s="65">
        <v>8</v>
      </c>
      <c r="I19" s="64">
        <f t="shared" si="2"/>
        <v>8</v>
      </c>
      <c r="J19" s="66" t="s">
        <v>285</v>
      </c>
      <c r="K19" s="65" t="s">
        <v>40</v>
      </c>
      <c r="L19" s="65" t="s">
        <v>49</v>
      </c>
      <c r="M19" s="66" t="s">
        <v>286</v>
      </c>
      <c r="N19" s="65" t="s">
        <v>129</v>
      </c>
      <c r="O19" s="65">
        <v>12</v>
      </c>
      <c r="P19" s="65">
        <v>12</v>
      </c>
      <c r="Q19" s="68">
        <f t="shared" si="3"/>
        <v>1</v>
      </c>
      <c r="R19" s="69">
        <v>18000000</v>
      </c>
      <c r="S19" s="70">
        <v>4.6</v>
      </c>
      <c r="T19" s="65"/>
      <c r="U19" s="64" t="str">
        <f t="shared" ca="1" si="4"/>
        <v>Đã hoàn thành</v>
      </c>
      <c r="V19" s="64" t="str">
        <f t="shared" si="5"/>
        <v>Q2</v>
      </c>
      <c r="W19" s="64">
        <f t="shared" si="6"/>
        <v>2026</v>
      </c>
      <c r="X19" s="64" t="str">
        <f>IF(E19="","",IF(AND(YEAR(E19)=Lịch!$T$2,ROUNDUP(MONTH(E19)/3,0)=Lịch!$W$2),MAX(X$6:X18)+1,""))</f>
        <v/>
      </c>
      <c r="Y19" s="66"/>
      <c r="Z19" s="71">
        <f t="shared" si="7"/>
        <v>96</v>
      </c>
      <c r="AA19" s="72" t="str">
        <f t="shared" ca="1" si="8"/>
        <v/>
      </c>
    </row>
    <row r="20" spans="1:27" ht="18.75" customHeight="1" x14ac:dyDescent="0.25">
      <c r="A20" s="64">
        <f t="shared" si="0"/>
        <v>14</v>
      </c>
      <c r="B20" s="73" t="s">
        <v>156</v>
      </c>
      <c r="C20" s="74" t="s">
        <v>157</v>
      </c>
      <c r="D20" s="73" t="s">
        <v>69</v>
      </c>
      <c r="E20" s="75">
        <v>46161</v>
      </c>
      <c r="F20" s="75">
        <v>46161</v>
      </c>
      <c r="G20" s="64">
        <f t="shared" si="1"/>
        <v>1</v>
      </c>
      <c r="H20" s="73">
        <v>4</v>
      </c>
      <c r="I20" s="64">
        <f t="shared" si="2"/>
        <v>4</v>
      </c>
      <c r="J20" s="74" t="s">
        <v>150</v>
      </c>
      <c r="K20" s="73" t="s">
        <v>38</v>
      </c>
      <c r="L20" s="73" t="s">
        <v>49</v>
      </c>
      <c r="M20" s="74" t="s">
        <v>115</v>
      </c>
      <c r="N20" s="73" t="s">
        <v>111</v>
      </c>
      <c r="O20" s="73">
        <v>18</v>
      </c>
      <c r="P20" s="73">
        <v>15</v>
      </c>
      <c r="Q20" s="68">
        <f t="shared" si="3"/>
        <v>0.833333333333333</v>
      </c>
      <c r="R20" s="76">
        <v>0</v>
      </c>
      <c r="S20" s="77">
        <v>3.9</v>
      </c>
      <c r="T20" s="73"/>
      <c r="U20" s="64" t="str">
        <f t="shared" ca="1" si="4"/>
        <v>Đã hoàn thành</v>
      </c>
      <c r="V20" s="64" t="str">
        <f t="shared" si="5"/>
        <v>Q2</v>
      </c>
      <c r="W20" s="64">
        <f t="shared" si="6"/>
        <v>2026</v>
      </c>
      <c r="X20" s="64" t="str">
        <f>IF(E20="","",IF(AND(YEAR(E20)=Lịch!$T$2,ROUNDUP(MONTH(E20)/3,0)=Lịch!$W$2),MAX(X$6:X19)+1,""))</f>
        <v/>
      </c>
      <c r="Y20" s="74"/>
      <c r="Z20" s="71">
        <f t="shared" si="7"/>
        <v>60</v>
      </c>
      <c r="AA20" s="72" t="str">
        <f t="shared" ca="1" si="8"/>
        <v/>
      </c>
    </row>
    <row r="21" spans="1:27" ht="18.75" customHeight="1" x14ac:dyDescent="0.25">
      <c r="A21" s="64">
        <f t="shared" si="0"/>
        <v>15</v>
      </c>
      <c r="B21" s="65" t="s">
        <v>158</v>
      </c>
      <c r="C21" s="66" t="s">
        <v>159</v>
      </c>
      <c r="D21" s="65" t="s">
        <v>70</v>
      </c>
      <c r="E21" s="67">
        <v>46168</v>
      </c>
      <c r="F21" s="67">
        <v>46168</v>
      </c>
      <c r="G21" s="64">
        <f t="shared" si="1"/>
        <v>1</v>
      </c>
      <c r="H21" s="65">
        <v>4</v>
      </c>
      <c r="I21" s="64">
        <f t="shared" si="2"/>
        <v>4</v>
      </c>
      <c r="J21" s="66" t="s">
        <v>216</v>
      </c>
      <c r="K21" s="65" t="s">
        <v>38</v>
      </c>
      <c r="L21" s="65" t="s">
        <v>49</v>
      </c>
      <c r="M21" s="66" t="s">
        <v>136</v>
      </c>
      <c r="N21" s="65" t="s">
        <v>147</v>
      </c>
      <c r="O21" s="65">
        <v>20</v>
      </c>
      <c r="P21" s="65">
        <v>18</v>
      </c>
      <c r="Q21" s="68">
        <f t="shared" si="3"/>
        <v>0.9</v>
      </c>
      <c r="R21" s="69">
        <v>0</v>
      </c>
      <c r="S21" s="70">
        <v>4.0</v>
      </c>
      <c r="T21" s="65"/>
      <c r="U21" s="64" t="str">
        <f t="shared" ca="1" si="4"/>
        <v>Đã hoàn thành</v>
      </c>
      <c r="V21" s="64" t="str">
        <f t="shared" si="5"/>
        <v>Q2</v>
      </c>
      <c r="W21" s="64">
        <f t="shared" si="6"/>
        <v>2026</v>
      </c>
      <c r="X21" s="64" t="str">
        <f>IF(E21="","",IF(AND(YEAR(E21)=Lịch!$T$2,ROUNDUP(MONTH(E21)/3,0)=Lịch!$W$2),MAX(X$6:X20)+1,""))</f>
        <v/>
      </c>
      <c r="Y21" s="66"/>
      <c r="Z21" s="71">
        <f t="shared" si="7"/>
        <v>72</v>
      </c>
      <c r="AA21" s="72" t="str">
        <f t="shared" ca="1" si="8"/>
        <v/>
      </c>
    </row>
    <row r="22" spans="1:27" ht="18.75" customHeight="1" x14ac:dyDescent="0.25">
      <c r="A22" s="64">
        <f t="shared" si="0"/>
        <v>16</v>
      </c>
      <c r="B22" s="73" t="s">
        <v>160</v>
      </c>
      <c r="C22" s="74" t="s">
        <v>161</v>
      </c>
      <c r="D22" s="73" t="s">
        <v>70</v>
      </c>
      <c r="E22" s="75">
        <v>46169</v>
      </c>
      <c r="F22" s="75">
        <v>46169</v>
      </c>
      <c r="G22" s="64">
        <f t="shared" si="1"/>
        <v>1</v>
      </c>
      <c r="H22" s="73">
        <v>4</v>
      </c>
      <c r="I22" s="64">
        <f t="shared" si="2"/>
        <v>4</v>
      </c>
      <c r="J22" s="74" t="s">
        <v>287</v>
      </c>
      <c r="K22" s="73" t="s">
        <v>40</v>
      </c>
      <c r="L22" s="73" t="s">
        <v>49</v>
      </c>
      <c r="M22" s="74" t="s">
        <v>288</v>
      </c>
      <c r="N22" s="73" t="s">
        <v>125</v>
      </c>
      <c r="O22" s="73">
        <v>120</v>
      </c>
      <c r="P22" s="73">
        <v>109</v>
      </c>
      <c r="Q22" s="68">
        <f t="shared" si="3"/>
        <v>0.908333333333333</v>
      </c>
      <c r="R22" s="76">
        <v>8000000</v>
      </c>
      <c r="S22" s="77">
        <v>4.2</v>
      </c>
      <c r="T22" s="73"/>
      <c r="U22" s="64" t="str">
        <f t="shared" ca="1" si="4"/>
        <v>Đã hoàn thành</v>
      </c>
      <c r="V22" s="64" t="str">
        <f t="shared" si="5"/>
        <v>Q2</v>
      </c>
      <c r="W22" s="64">
        <f t="shared" si="6"/>
        <v>2026</v>
      </c>
      <c r="X22" s="64" t="str">
        <f>IF(E22="","",IF(AND(YEAR(E22)=Lịch!$T$2,ROUNDUP(MONTH(E22)/3,0)=Lịch!$W$2),MAX(X$6:X21)+1,""))</f>
        <v/>
      </c>
      <c r="Y22" s="74" t="s">
        <v>289</v>
      </c>
      <c r="Z22" s="71">
        <f t="shared" si="7"/>
        <v>436</v>
      </c>
      <c r="AA22" s="72" t="str">
        <f t="shared" ca="1" si="8"/>
        <v/>
      </c>
    </row>
    <row r="23" spans="1:27" ht="18.75" customHeight="1" x14ac:dyDescent="0.25">
      <c r="A23" s="64">
        <f t="shared" si="0"/>
        <v>17</v>
      </c>
      <c r="B23" s="65" t="s">
        <v>162</v>
      </c>
      <c r="C23" s="66" t="s">
        <v>163</v>
      </c>
      <c r="D23" s="65" t="s">
        <v>68</v>
      </c>
      <c r="E23" s="67">
        <v>46181</v>
      </c>
      <c r="F23" s="67">
        <v>46182</v>
      </c>
      <c r="G23" s="64">
        <f t="shared" si="1"/>
        <v>2</v>
      </c>
      <c r="H23" s="65">
        <v>8</v>
      </c>
      <c r="I23" s="64">
        <f t="shared" si="2"/>
        <v>16</v>
      </c>
      <c r="J23" s="66" t="s">
        <v>109</v>
      </c>
      <c r="K23" s="65" t="s">
        <v>38</v>
      </c>
      <c r="L23" s="65" t="s">
        <v>51</v>
      </c>
      <c r="M23" s="66" t="s">
        <v>110</v>
      </c>
      <c r="N23" s="65" t="s">
        <v>164</v>
      </c>
      <c r="O23" s="65">
        <v>8</v>
      </c>
      <c r="P23" s="65">
        <v>8</v>
      </c>
      <c r="Q23" s="68">
        <f t="shared" si="3"/>
        <v>1</v>
      </c>
      <c r="R23" s="69">
        <v>0</v>
      </c>
      <c r="S23" s="70">
        <v>4.0</v>
      </c>
      <c r="T23" s="65"/>
      <c r="U23" s="64" t="str">
        <f t="shared" ca="1" si="4"/>
        <v>Đã hoàn thành</v>
      </c>
      <c r="V23" s="64" t="str">
        <f t="shared" si="5"/>
        <v>Q2</v>
      </c>
      <c r="W23" s="64">
        <f t="shared" si="6"/>
        <v>2026</v>
      </c>
      <c r="X23" s="64" t="str">
        <f>IF(E23="","",IF(AND(YEAR(E23)=Lịch!$T$2,ROUNDUP(MONTH(E23)/3,0)=Lịch!$W$2),MAX(X$6:X22)+1,""))</f>
        <v/>
      </c>
      <c r="Y23" s="66"/>
      <c r="Z23" s="71">
        <f t="shared" si="7"/>
        <v>128</v>
      </c>
      <c r="AA23" s="72" t="str">
        <f t="shared" ca="1" si="8"/>
        <v/>
      </c>
    </row>
    <row r="24" spans="1:27" ht="18.75" customHeight="1" x14ac:dyDescent="0.25">
      <c r="A24" s="64">
        <f t="shared" si="0"/>
        <v>18</v>
      </c>
      <c r="B24" s="73" t="s">
        <v>165</v>
      </c>
      <c r="C24" s="74" t="s">
        <v>166</v>
      </c>
      <c r="D24" s="73" t="s">
        <v>71</v>
      </c>
      <c r="E24" s="75">
        <v>46183</v>
      </c>
      <c r="F24" s="75">
        <v>46184</v>
      </c>
      <c r="G24" s="64">
        <f t="shared" si="1"/>
        <v>2</v>
      </c>
      <c r="H24" s="73">
        <v>8</v>
      </c>
      <c r="I24" s="64">
        <f t="shared" si="2"/>
        <v>16</v>
      </c>
      <c r="J24" s="74" t="s">
        <v>279</v>
      </c>
      <c r="K24" s="73" t="s">
        <v>40</v>
      </c>
      <c r="L24" s="73" t="s">
        <v>49</v>
      </c>
      <c r="M24" s="74" t="s">
        <v>155</v>
      </c>
      <c r="N24" s="73" t="s">
        <v>125</v>
      </c>
      <c r="O24" s="73">
        <v>20</v>
      </c>
      <c r="P24" s="73">
        <v>18</v>
      </c>
      <c r="Q24" s="68">
        <f t="shared" si="3"/>
        <v>0.9</v>
      </c>
      <c r="R24" s="76">
        <v>36000000</v>
      </c>
      <c r="S24" s="77">
        <v>4.3</v>
      </c>
      <c r="T24" s="73"/>
      <c r="U24" s="64" t="str">
        <f t="shared" ca="1" si="4"/>
        <v>Đã hoàn thành</v>
      </c>
      <c r="V24" s="64" t="str">
        <f t="shared" si="5"/>
        <v>Q2</v>
      </c>
      <c r="W24" s="64">
        <f t="shared" si="6"/>
        <v>2026</v>
      </c>
      <c r="X24" s="64" t="str">
        <f>IF(E24="","",IF(AND(YEAR(E24)=Lịch!$T$2,ROUNDUP(MONTH(E24)/3,0)=Lịch!$W$2),MAX(X$6:X23)+1,""))</f>
        <v/>
      </c>
      <c r="Y24" s="74"/>
      <c r="Z24" s="71">
        <f t="shared" si="7"/>
        <v>288</v>
      </c>
      <c r="AA24" s="72" t="str">
        <f t="shared" ca="1" si="8"/>
        <v/>
      </c>
    </row>
    <row r="25" spans="1:27" ht="18.75" customHeight="1" x14ac:dyDescent="0.25">
      <c r="A25" s="64">
        <f t="shared" si="0"/>
        <v>19</v>
      </c>
      <c r="B25" s="65" t="s">
        <v>167</v>
      </c>
      <c r="C25" s="66" t="s">
        <v>168</v>
      </c>
      <c r="D25" s="65" t="s">
        <v>72</v>
      </c>
      <c r="E25" s="67">
        <v>46197</v>
      </c>
      <c r="F25" s="67">
        <v>46197</v>
      </c>
      <c r="G25" s="64">
        <f t="shared" si="1"/>
        <v>1</v>
      </c>
      <c r="H25" s="65">
        <v>4</v>
      </c>
      <c r="I25" s="64">
        <f t="shared" si="2"/>
        <v>4</v>
      </c>
      <c r="J25" s="66" t="s">
        <v>124</v>
      </c>
      <c r="K25" s="65" t="s">
        <v>38</v>
      </c>
      <c r="L25" s="65" t="s">
        <v>49</v>
      </c>
      <c r="M25" s="66" t="s">
        <v>155</v>
      </c>
      <c r="N25" s="65" t="s">
        <v>125</v>
      </c>
      <c r="O25" s="65">
        <v>30</v>
      </c>
      <c r="P25" s="65">
        <v>27</v>
      </c>
      <c r="Q25" s="68">
        <f t="shared" si="3"/>
        <v>0.9</v>
      </c>
      <c r="R25" s="69">
        <v>1000000</v>
      </c>
      <c r="S25" s="70">
        <v>4.2</v>
      </c>
      <c r="T25" s="65"/>
      <c r="U25" s="64" t="str">
        <f t="shared" ca="1" si="4"/>
        <v>Đã hoàn thành</v>
      </c>
      <c r="V25" s="64" t="str">
        <f t="shared" si="5"/>
        <v>Q2</v>
      </c>
      <c r="W25" s="64">
        <f t="shared" si="6"/>
        <v>2026</v>
      </c>
      <c r="X25" s="64" t="str">
        <f>IF(E25="","",IF(AND(YEAR(E25)=Lịch!$T$2,ROUNDUP(MONTH(E25)/3,0)=Lịch!$W$2),MAX(X$6:X24)+1,""))</f>
        <v/>
      </c>
      <c r="Y25" s="66"/>
      <c r="Z25" s="71">
        <f t="shared" si="7"/>
        <v>108</v>
      </c>
      <c r="AA25" s="72" t="str">
        <f t="shared" ca="1" si="8"/>
        <v/>
      </c>
    </row>
    <row r="26" spans="1:27" ht="18.75" customHeight="1" x14ac:dyDescent="0.25">
      <c r="A26" s="64">
        <f t="shared" si="0"/>
        <v>20</v>
      </c>
      <c r="B26" s="73" t="s">
        <v>169</v>
      </c>
      <c r="C26" s="74" t="s">
        <v>170</v>
      </c>
      <c r="D26" s="73" t="s">
        <v>70</v>
      </c>
      <c r="E26" s="75">
        <v>46209</v>
      </c>
      <c r="F26" s="75">
        <v>46209</v>
      </c>
      <c r="G26" s="64">
        <f t="shared" si="1"/>
        <v>1</v>
      </c>
      <c r="H26" s="73">
        <v>8</v>
      </c>
      <c r="I26" s="64">
        <f t="shared" si="2"/>
        <v>8</v>
      </c>
      <c r="J26" s="74" t="s">
        <v>114</v>
      </c>
      <c r="K26" s="73" t="s">
        <v>38</v>
      </c>
      <c r="L26" s="73" t="s">
        <v>49</v>
      </c>
      <c r="M26" s="74" t="s">
        <v>115</v>
      </c>
      <c r="N26" s="73" t="s">
        <v>129</v>
      </c>
      <c r="O26" s="73">
        <v>15</v>
      </c>
      <c r="P26" s="73">
        <v>15</v>
      </c>
      <c r="Q26" s="68">
        <f t="shared" si="3"/>
        <v>1</v>
      </c>
      <c r="R26" s="76">
        <v>0</v>
      </c>
      <c r="S26" s="77">
        <v>4.4</v>
      </c>
      <c r="T26" s="73"/>
      <c r="U26" s="64" t="str">
        <f t="shared" ca="1" si="4"/>
        <v>Đã hoàn thành</v>
      </c>
      <c r="V26" s="64" t="str">
        <f t="shared" si="5"/>
        <v>Q3</v>
      </c>
      <c r="W26" s="64">
        <f t="shared" si="6"/>
        <v>2026</v>
      </c>
      <c r="X26" s="64" t="str">
        <f>IF(E26="","",IF(AND(YEAR(E26)=Lịch!$T$2,ROUNDUP(MONTH(E26)/3,0)=Lịch!$W$2),MAX(X$6:X25)+1,""))</f>
        <v/>
      </c>
      <c r="Y26" s="74"/>
      <c r="Z26" s="71">
        <f t="shared" si="7"/>
        <v>120</v>
      </c>
      <c r="AA26" s="72" t="str">
        <f t="shared" ca="1" si="8"/>
        <v/>
      </c>
    </row>
    <row r="27" spans="1:27" ht="18.75" customHeight="1" x14ac:dyDescent="0.25">
      <c r="A27" s="64">
        <f t="shared" si="0"/>
        <v>21</v>
      </c>
      <c r="B27" s="65" t="s">
        <v>171</v>
      </c>
      <c r="C27" s="66" t="s">
        <v>172</v>
      </c>
      <c r="D27" s="65" t="s">
        <v>68</v>
      </c>
      <c r="E27" s="67">
        <v>46210</v>
      </c>
      <c r="F27" s="67">
        <v>46210</v>
      </c>
      <c r="G27" s="64">
        <f t="shared" si="1"/>
        <v>1</v>
      </c>
      <c r="H27" s="65">
        <v>4</v>
      </c>
      <c r="I27" s="64">
        <f t="shared" si="2"/>
        <v>4</v>
      </c>
      <c r="J27" s="66" t="s">
        <v>109</v>
      </c>
      <c r="K27" s="65" t="s">
        <v>38</v>
      </c>
      <c r="L27" s="65" t="s">
        <v>51</v>
      </c>
      <c r="M27" s="66" t="s">
        <v>110</v>
      </c>
      <c r="N27" s="65" t="s">
        <v>164</v>
      </c>
      <c r="O27" s="65">
        <v>8</v>
      </c>
      <c r="P27" s="65">
        <v>7</v>
      </c>
      <c r="Q27" s="68">
        <f t="shared" si="3"/>
        <v>0.875</v>
      </c>
      <c r="R27" s="69">
        <v>0</v>
      </c>
      <c r="S27" s="70">
        <v>4.1</v>
      </c>
      <c r="T27" s="65"/>
      <c r="U27" s="64" t="str">
        <f t="shared" ca="1" si="4"/>
        <v>Đã hoàn thành</v>
      </c>
      <c r="V27" s="64" t="str">
        <f t="shared" si="5"/>
        <v>Q3</v>
      </c>
      <c r="W27" s="64">
        <f t="shared" si="6"/>
        <v>2026</v>
      </c>
      <c r="X27" s="64" t="str">
        <f>IF(E27="","",IF(AND(YEAR(E27)=Lịch!$T$2,ROUNDUP(MONTH(E27)/3,0)=Lịch!$W$2),MAX(X$6:X26)+1,""))</f>
        <v/>
      </c>
      <c r="Y27" s="66"/>
      <c r="Z27" s="71">
        <f t="shared" si="7"/>
        <v>28</v>
      </c>
      <c r="AA27" s="72" t="str">
        <f t="shared" ca="1" si="8"/>
        <v/>
      </c>
    </row>
    <row r="28" spans="1:27" ht="18.75" customHeight="1" x14ac:dyDescent="0.25">
      <c r="A28" s="64">
        <f t="shared" si="0"/>
        <v>22</v>
      </c>
      <c r="B28" s="73" t="s">
        <v>173</v>
      </c>
      <c r="C28" s="74" t="s">
        <v>174</v>
      </c>
      <c r="D28" s="73" t="s">
        <v>69</v>
      </c>
      <c r="E28" s="75">
        <v>46216</v>
      </c>
      <c r="F28" s="75">
        <v>46216</v>
      </c>
      <c r="G28" s="64">
        <f t="shared" si="1"/>
        <v>1</v>
      </c>
      <c r="H28" s="73">
        <v>8</v>
      </c>
      <c r="I28" s="64">
        <f t="shared" si="2"/>
        <v>8</v>
      </c>
      <c r="J28" s="74" t="s">
        <v>279</v>
      </c>
      <c r="K28" s="73" t="s">
        <v>40</v>
      </c>
      <c r="L28" s="73" t="s">
        <v>49</v>
      </c>
      <c r="M28" s="74" t="s">
        <v>155</v>
      </c>
      <c r="N28" s="73" t="s">
        <v>121</v>
      </c>
      <c r="O28" s="73">
        <v>30</v>
      </c>
      <c r="P28" s="73">
        <v>26</v>
      </c>
      <c r="Q28" s="68">
        <f t="shared" si="3"/>
        <v>0.866666666666667</v>
      </c>
      <c r="R28" s="76">
        <v>16000000</v>
      </c>
      <c r="S28" s="77">
        <v>4.5</v>
      </c>
      <c r="T28" s="73"/>
      <c r="U28" s="64" t="str">
        <f t="shared" ca="1" si="4"/>
        <v>Đã hoàn thành</v>
      </c>
      <c r="V28" s="64" t="str">
        <f t="shared" si="5"/>
        <v>Q3</v>
      </c>
      <c r="W28" s="64">
        <f t="shared" si="6"/>
        <v>2026</v>
      </c>
      <c r="X28" s="64" t="str">
        <f>IF(E28="","",IF(AND(YEAR(E28)=Lịch!$T$2,ROUNDUP(MONTH(E28)/3,0)=Lịch!$W$2),MAX(X$6:X27)+1,""))</f>
        <v/>
      </c>
      <c r="Y28" s="74"/>
      <c r="Z28" s="71">
        <f t="shared" si="7"/>
        <v>208</v>
      </c>
      <c r="AA28" s="72" t="str">
        <f t="shared" ca="1" si="8"/>
        <v/>
      </c>
    </row>
    <row r="29" spans="1:27" ht="18.75" customHeight="1" x14ac:dyDescent="0.25">
      <c r="A29" s="64">
        <f t="shared" si="0"/>
        <v>23</v>
      </c>
      <c r="B29" s="65" t="s">
        <v>175</v>
      </c>
      <c r="C29" s="66" t="s">
        <v>176</v>
      </c>
      <c r="D29" s="65" t="s">
        <v>71</v>
      </c>
      <c r="E29" s="67">
        <v>46217</v>
      </c>
      <c r="F29" s="67">
        <v>46217</v>
      </c>
      <c r="G29" s="64">
        <f t="shared" si="1"/>
        <v>1</v>
      </c>
      <c r="H29" s="65">
        <v>4</v>
      </c>
      <c r="I29" s="64">
        <f t="shared" si="2"/>
        <v>4</v>
      </c>
      <c r="J29" s="66" t="s">
        <v>279</v>
      </c>
      <c r="K29" s="65" t="s">
        <v>40</v>
      </c>
      <c r="L29" s="65" t="s">
        <v>49</v>
      </c>
      <c r="M29" s="66" t="s">
        <v>115</v>
      </c>
      <c r="N29" s="65" t="s">
        <v>139</v>
      </c>
      <c r="O29" s="65">
        <v>12</v>
      </c>
      <c r="P29" s="65">
        <v>11</v>
      </c>
      <c r="Q29" s="68">
        <f t="shared" si="3"/>
        <v>0.916666666666667</v>
      </c>
      <c r="R29" s="69">
        <v>10000000</v>
      </c>
      <c r="S29" s="70">
        <v>4.3</v>
      </c>
      <c r="T29" s="65"/>
      <c r="U29" s="64" t="str">
        <f t="shared" ca="1" si="4"/>
        <v>Đã hoàn thành</v>
      </c>
      <c r="V29" s="64" t="str">
        <f t="shared" si="5"/>
        <v>Q3</v>
      </c>
      <c r="W29" s="64">
        <f t="shared" si="6"/>
        <v>2026</v>
      </c>
      <c r="X29" s="64" t="str">
        <f>IF(E29="","",IF(AND(YEAR(E29)=Lịch!$T$2,ROUNDUP(MONTH(E29)/3,0)=Lịch!$W$2),MAX(X$6:X28)+1,""))</f>
        <v/>
      </c>
      <c r="Y29" s="66"/>
      <c r="Z29" s="71">
        <f t="shared" si="7"/>
        <v>44</v>
      </c>
      <c r="AA29" s="72" t="str">
        <f t="shared" ca="1" si="8"/>
        <v/>
      </c>
    </row>
    <row r="30" spans="1:27" ht="18.75" customHeight="1" x14ac:dyDescent="0.25">
      <c r="A30" s="64">
        <f t="shared" si="0"/>
        <v>24</v>
      </c>
      <c r="B30" s="73" t="s">
        <v>177</v>
      </c>
      <c r="C30" s="74" t="s">
        <v>178</v>
      </c>
      <c r="D30" s="73" t="s">
        <v>68</v>
      </c>
      <c r="E30" s="75">
        <v>46239</v>
      </c>
      <c r="F30" s="75">
        <v>46239</v>
      </c>
      <c r="G30" s="64">
        <f t="shared" si="1"/>
        <v>1</v>
      </c>
      <c r="H30" s="73">
        <v>4</v>
      </c>
      <c r="I30" s="64">
        <f t="shared" si="2"/>
        <v>4</v>
      </c>
      <c r="J30" s="74" t="s">
        <v>179</v>
      </c>
      <c r="K30" s="73" t="s">
        <v>38</v>
      </c>
      <c r="L30" s="73" t="s">
        <v>49</v>
      </c>
      <c r="M30" s="74" t="s">
        <v>290</v>
      </c>
      <c r="N30" s="73" t="s">
        <v>144</v>
      </c>
      <c r="O30" s="73">
        <v>15</v>
      </c>
      <c r="P30" s="73">
        <v>14</v>
      </c>
      <c r="Q30" s="68">
        <f t="shared" si="3"/>
        <v>0.933333333333333</v>
      </c>
      <c r="R30" s="76">
        <v>0</v>
      </c>
      <c r="S30" s="77">
        <v>4.2</v>
      </c>
      <c r="T30" s="73"/>
      <c r="U30" s="64" t="str">
        <f t="shared" ca="1" si="4"/>
        <v>Đã hoàn thành</v>
      </c>
      <c r="V30" s="64" t="str">
        <f t="shared" si="5"/>
        <v>Q3</v>
      </c>
      <c r="W30" s="64">
        <f t="shared" si="6"/>
        <v>2026</v>
      </c>
      <c r="X30" s="64" t="str">
        <f>IF(E30="","",IF(AND(YEAR(E30)=Lịch!$T$2,ROUNDUP(MONTH(E30)/3,0)=Lịch!$W$2),MAX(X$6:X29)+1,""))</f>
        <v/>
      </c>
      <c r="Y30" s="74"/>
      <c r="Z30" s="71">
        <f t="shared" si="7"/>
        <v>56</v>
      </c>
      <c r="AA30" s="72" t="str">
        <f t="shared" ca="1" si="8"/>
        <v/>
      </c>
    </row>
    <row r="31" spans="1:27" ht="18.75" customHeight="1" x14ac:dyDescent="0.25">
      <c r="A31" s="64">
        <f t="shared" si="0"/>
        <v>25</v>
      </c>
      <c r="B31" s="65" t="s">
        <v>180</v>
      </c>
      <c r="C31" s="66" t="s">
        <v>181</v>
      </c>
      <c r="D31" s="65" t="s">
        <v>72</v>
      </c>
      <c r="E31" s="67">
        <v>46251</v>
      </c>
      <c r="F31" s="67">
        <v>46251</v>
      </c>
      <c r="G31" s="64">
        <f t="shared" si="1"/>
        <v>1</v>
      </c>
      <c r="H31" s="65">
        <v>4</v>
      </c>
      <c r="I31" s="64">
        <f t="shared" si="2"/>
        <v>4</v>
      </c>
      <c r="J31" s="66" t="s">
        <v>150</v>
      </c>
      <c r="K31" s="65" t="s">
        <v>38</v>
      </c>
      <c r="L31" s="65" t="s">
        <v>49</v>
      </c>
      <c r="M31" s="66" t="s">
        <v>155</v>
      </c>
      <c r="N31" s="65" t="s">
        <v>125</v>
      </c>
      <c r="O31" s="65">
        <v>28</v>
      </c>
      <c r="P31" s="65">
        <v>26</v>
      </c>
      <c r="Q31" s="68">
        <f t="shared" si="3"/>
        <v>0.928571428571429</v>
      </c>
      <c r="R31" s="69">
        <v>1000000</v>
      </c>
      <c r="S31" s="70">
        <v>4.4</v>
      </c>
      <c r="T31" s="65"/>
      <c r="U31" s="64" t="str">
        <f t="shared" ca="1" si="4"/>
        <v>Đã hoàn thành</v>
      </c>
      <c r="V31" s="64" t="str">
        <f t="shared" si="5"/>
        <v>Q3</v>
      </c>
      <c r="W31" s="64">
        <f t="shared" si="6"/>
        <v>2026</v>
      </c>
      <c r="X31" s="64" t="str">
        <f>IF(E31="","",IF(AND(YEAR(E31)=Lịch!$T$2,ROUNDUP(MONTH(E31)/3,0)=Lịch!$W$2),MAX(X$6:X30)+1,""))</f>
        <v/>
      </c>
      <c r="Y31" s="66"/>
      <c r="Z31" s="71">
        <f t="shared" si="7"/>
        <v>104</v>
      </c>
      <c r="AA31" s="72" t="str">
        <f t="shared" ca="1" si="8"/>
        <v/>
      </c>
    </row>
    <row r="32" spans="1:27" ht="18.75" customHeight="1" x14ac:dyDescent="0.25">
      <c r="A32" s="64">
        <f t="shared" si="0"/>
        <v>26</v>
      </c>
      <c r="B32" s="73" t="s">
        <v>182</v>
      </c>
      <c r="C32" s="74" t="s">
        <v>183</v>
      </c>
      <c r="D32" s="73" t="s">
        <v>69</v>
      </c>
      <c r="E32" s="75">
        <v>46258</v>
      </c>
      <c r="F32" s="75">
        <v>46259</v>
      </c>
      <c r="G32" s="64">
        <f t="shared" si="1"/>
        <v>2</v>
      </c>
      <c r="H32" s="73">
        <v>8</v>
      </c>
      <c r="I32" s="64">
        <f t="shared" si="2"/>
        <v>16</v>
      </c>
      <c r="J32" s="74" t="s">
        <v>279</v>
      </c>
      <c r="K32" s="73" t="s">
        <v>40</v>
      </c>
      <c r="L32" s="73" t="s">
        <v>49</v>
      </c>
      <c r="M32" s="74" t="s">
        <v>155</v>
      </c>
      <c r="N32" s="73" t="s">
        <v>116</v>
      </c>
      <c r="O32" s="73">
        <v>25</v>
      </c>
      <c r="P32" s="73">
        <v>22</v>
      </c>
      <c r="Q32" s="68">
        <f t="shared" si="3"/>
        <v>0.88</v>
      </c>
      <c r="R32" s="76">
        <v>24000000</v>
      </c>
      <c r="S32" s="77">
        <v>4.1</v>
      </c>
      <c r="T32" s="73"/>
      <c r="U32" s="64" t="str">
        <f t="shared" ca="1" si="4"/>
        <v>Đã hoàn thành</v>
      </c>
      <c r="V32" s="64" t="str">
        <f t="shared" si="5"/>
        <v>Q3</v>
      </c>
      <c r="W32" s="64">
        <f t="shared" si="6"/>
        <v>2026</v>
      </c>
      <c r="X32" s="64" t="str">
        <f>IF(E32="","",IF(AND(YEAR(E32)=Lịch!$T$2,ROUNDUP(MONTH(E32)/3,0)=Lịch!$W$2),MAX(X$6:X31)+1,""))</f>
        <v/>
      </c>
      <c r="Y32" s="74" t="s">
        <v>291</v>
      </c>
      <c r="Z32" s="71">
        <f t="shared" si="7"/>
        <v>352</v>
      </c>
      <c r="AA32" s="72" t="str">
        <f t="shared" ca="1" si="8"/>
        <v/>
      </c>
    </row>
    <row r="33" spans="1:27" ht="18.75" customHeight="1" x14ac:dyDescent="0.25">
      <c r="A33" s="64">
        <f t="shared" si="0"/>
        <v>27</v>
      </c>
      <c r="B33" s="65" t="s">
        <v>184</v>
      </c>
      <c r="C33" s="66" t="s">
        <v>185</v>
      </c>
      <c r="D33" s="65" t="s">
        <v>68</v>
      </c>
      <c r="E33" s="67">
        <v>46273</v>
      </c>
      <c r="F33" s="67">
        <v>46273</v>
      </c>
      <c r="G33" s="64">
        <f t="shared" si="1"/>
        <v>1</v>
      </c>
      <c r="H33" s="65">
        <v>4</v>
      </c>
      <c r="I33" s="64">
        <f t="shared" si="2"/>
        <v>4</v>
      </c>
      <c r="J33" s="66" t="s">
        <v>109</v>
      </c>
      <c r="K33" s="65" t="s">
        <v>38</v>
      </c>
      <c r="L33" s="65" t="s">
        <v>51</v>
      </c>
      <c r="M33" s="66" t="s">
        <v>110</v>
      </c>
      <c r="N33" s="65" t="s">
        <v>125</v>
      </c>
      <c r="O33" s="65">
        <v>80</v>
      </c>
      <c r="P33" s="65">
        <v>71</v>
      </c>
      <c r="Q33" s="68">
        <f t="shared" si="3"/>
        <v>0.8875</v>
      </c>
      <c r="R33" s="69">
        <v>0</v>
      </c>
      <c r="S33" s="70">
        <v>4.6</v>
      </c>
      <c r="T33" s="65"/>
      <c r="U33" s="64" t="str">
        <f t="shared" ca="1" si="4"/>
        <v>Đã hoàn thành</v>
      </c>
      <c r="V33" s="64" t="str">
        <f t="shared" si="5"/>
        <v>Q3</v>
      </c>
      <c r="W33" s="64">
        <f t="shared" si="6"/>
        <v>2026</v>
      </c>
      <c r="X33" s="64" t="str">
        <f>IF(E33="","",IF(AND(YEAR(E33)=Lịch!$T$2,ROUNDUP(MONTH(E33)/3,0)=Lịch!$W$2),MAX(X$6:X32)+1,""))</f>
        <v/>
      </c>
      <c r="Y33" s="66"/>
      <c r="Z33" s="71">
        <f t="shared" si="7"/>
        <v>284</v>
      </c>
      <c r="AA33" s="72" t="str">
        <f t="shared" ca="1" si="8"/>
        <v/>
      </c>
    </row>
    <row r="34" spans="1:27" ht="18.75" customHeight="1" x14ac:dyDescent="0.25">
      <c r="A34" s="64">
        <f t="shared" si="0"/>
        <v>28</v>
      </c>
      <c r="B34" s="73" t="s">
        <v>186</v>
      </c>
      <c r="C34" s="74" t="s">
        <v>187</v>
      </c>
      <c r="D34" s="73" t="s">
        <v>71</v>
      </c>
      <c r="E34" s="75">
        <v>46274</v>
      </c>
      <c r="F34" s="75">
        <v>46275</v>
      </c>
      <c r="G34" s="64">
        <f t="shared" si="1"/>
        <v>2</v>
      </c>
      <c r="H34" s="73">
        <v>8</v>
      </c>
      <c r="I34" s="64">
        <f t="shared" si="2"/>
        <v>16</v>
      </c>
      <c r="J34" s="74" t="s">
        <v>279</v>
      </c>
      <c r="K34" s="73" t="s">
        <v>40</v>
      </c>
      <c r="L34" s="73" t="s">
        <v>49</v>
      </c>
      <c r="M34" s="74" t="s">
        <v>155</v>
      </c>
      <c r="N34" s="73" t="s">
        <v>125</v>
      </c>
      <c r="O34" s="73">
        <v>20</v>
      </c>
      <c r="P34" s="73">
        <v>19</v>
      </c>
      <c r="Q34" s="68">
        <f t="shared" si="3"/>
        <v>0.95</v>
      </c>
      <c r="R34" s="76">
        <v>36000000</v>
      </c>
      <c r="S34" s="77">
        <v>4.5</v>
      </c>
      <c r="T34" s="73"/>
      <c r="U34" s="64" t="str">
        <f t="shared" ca="1" si="4"/>
        <v>Đã hoàn thành</v>
      </c>
      <c r="V34" s="64" t="str">
        <f t="shared" si="5"/>
        <v>Q3</v>
      </c>
      <c r="W34" s="64">
        <f t="shared" si="6"/>
        <v>2026</v>
      </c>
      <c r="X34" s="64" t="str">
        <f>IF(E34="","",IF(AND(YEAR(E34)=Lịch!$T$2,ROUNDUP(MONTH(E34)/3,0)=Lịch!$W$2),MAX(X$6:X33)+1,""))</f>
        <v/>
      </c>
      <c r="Y34" s="74"/>
      <c r="Z34" s="71">
        <f t="shared" si="7"/>
        <v>304</v>
      </c>
      <c r="AA34" s="72" t="str">
        <f t="shared" ca="1" si="8"/>
        <v/>
      </c>
    </row>
    <row r="35" spans="1:27" ht="18.75" customHeight="1" x14ac:dyDescent="0.25">
      <c r="A35" s="64">
        <f t="shared" si="0"/>
        <v>29</v>
      </c>
      <c r="B35" s="65" t="s">
        <v>188</v>
      </c>
      <c r="C35" s="66" t="s">
        <v>189</v>
      </c>
      <c r="D35" s="65" t="s">
        <v>70</v>
      </c>
      <c r="E35" s="67">
        <v>46295</v>
      </c>
      <c r="F35" s="67">
        <v>46295</v>
      </c>
      <c r="G35" s="64">
        <f t="shared" si="1"/>
        <v>1</v>
      </c>
      <c r="H35" s="65">
        <v>8</v>
      </c>
      <c r="I35" s="64">
        <f t="shared" si="2"/>
        <v>8</v>
      </c>
      <c r="J35" s="66" t="s">
        <v>292</v>
      </c>
      <c r="K35" s="65" t="s">
        <v>40</v>
      </c>
      <c r="L35" s="65" t="s">
        <v>49</v>
      </c>
      <c r="M35" s="66" t="s">
        <v>155</v>
      </c>
      <c r="N35" s="65" t="s">
        <v>116</v>
      </c>
      <c r="O35" s="65">
        <v>35</v>
      </c>
      <c r="P35" s="65">
        <v>33</v>
      </c>
      <c r="Q35" s="68">
        <f t="shared" si="3"/>
        <v>0.942857142857143</v>
      </c>
      <c r="R35" s="69">
        <v>15000000</v>
      </c>
      <c r="S35" s="70">
        <v>4.3</v>
      </c>
      <c r="T35" s="65"/>
      <c r="U35" s="64" t="str">
        <f t="shared" ca="1" si="4"/>
        <v>Đã hoàn thành</v>
      </c>
      <c r="V35" s="64" t="str">
        <f t="shared" si="5"/>
        <v>Q3</v>
      </c>
      <c r="W35" s="64">
        <f t="shared" si="6"/>
        <v>2026</v>
      </c>
      <c r="X35" s="64" t="str">
        <f>IF(E35="","",IF(AND(YEAR(E35)=Lịch!$T$2,ROUNDUP(MONTH(E35)/3,0)=Lịch!$W$2),MAX(X$6:X34)+1,""))</f>
        <v/>
      </c>
      <c r="Y35" s="66"/>
      <c r="Z35" s="71">
        <f t="shared" si="7"/>
        <v>264</v>
      </c>
      <c r="AA35" s="72" t="str">
        <f t="shared" ca="1" si="8"/>
        <v/>
      </c>
    </row>
    <row r="36" spans="1:27" ht="18.75" customHeight="1" x14ac:dyDescent="0.25">
      <c r="A36" s="64">
        <f t="shared" si="0"/>
        <v>30</v>
      </c>
      <c r="B36" s="73" t="s">
        <v>190</v>
      </c>
      <c r="C36" s="74" t="s">
        <v>191</v>
      </c>
      <c r="D36" s="73" t="s">
        <v>69</v>
      </c>
      <c r="E36" s="75">
        <v>46300</v>
      </c>
      <c r="F36" s="75">
        <v>46300</v>
      </c>
      <c r="G36" s="64">
        <f t="shared" si="1"/>
        <v>1</v>
      </c>
      <c r="H36" s="73">
        <v>4</v>
      </c>
      <c r="I36" s="64">
        <f t="shared" si="2"/>
        <v>4</v>
      </c>
      <c r="J36" s="74" t="s">
        <v>279</v>
      </c>
      <c r="K36" s="73" t="s">
        <v>40</v>
      </c>
      <c r="L36" s="73" t="s">
        <v>49</v>
      </c>
      <c r="M36" s="74" t="s">
        <v>136</v>
      </c>
      <c r="N36" s="73" t="s">
        <v>121</v>
      </c>
      <c r="O36" s="73">
        <v>25</v>
      </c>
      <c r="P36" s="73">
        <v>24</v>
      </c>
      <c r="Q36" s="68">
        <f t="shared" si="3"/>
        <v>0.96</v>
      </c>
      <c r="R36" s="76">
        <v>12000000</v>
      </c>
      <c r="S36" s="77">
        <v>4.2</v>
      </c>
      <c r="T36" s="73"/>
      <c r="U36" s="64" t="str">
        <f t="shared" ca="1" si="4"/>
        <v>Đã hoàn thành</v>
      </c>
      <c r="V36" s="64" t="str">
        <f t="shared" si="5"/>
        <v>Q4</v>
      </c>
      <c r="W36" s="64">
        <f t="shared" si="6"/>
        <v>2026</v>
      </c>
      <c r="X36" s="64">
        <f>IF(E36="","",IF(AND(YEAR(E36)=Lịch!$T$2,ROUNDUP(MONTH(E36)/3,0)=Lịch!$W$2),MAX(X$6:X35)+1,""))</f>
        <v>1</v>
      </c>
      <c r="Y36" s="74"/>
      <c r="Z36" s="71">
        <f t="shared" si="7"/>
        <v>96</v>
      </c>
      <c r="AA36" s="72" t="str">
        <f t="shared" ca="1" si="8"/>
        <v/>
      </c>
    </row>
    <row r="37" spans="1:27" ht="18.75" customHeight="1" x14ac:dyDescent="0.25">
      <c r="A37" s="64">
        <f t="shared" si="0"/>
        <v>31</v>
      </c>
      <c r="B37" s="65" t="s">
        <v>195</v>
      </c>
      <c r="C37" s="66" t="s">
        <v>193</v>
      </c>
      <c r="D37" s="65" t="s">
        <v>69</v>
      </c>
      <c r="E37" s="67">
        <v>46314</v>
      </c>
      <c r="F37" s="67">
        <v>46316</v>
      </c>
      <c r="G37" s="64">
        <f t="shared" si="1"/>
        <v>3</v>
      </c>
      <c r="H37" s="65">
        <v>4</v>
      </c>
      <c r="I37" s="64">
        <f t="shared" si="2"/>
        <v>12</v>
      </c>
      <c r="J37" s="66" t="s">
        <v>150</v>
      </c>
      <c r="K37" s="65" t="s">
        <v>38</v>
      </c>
      <c r="L37" s="65" t="s">
        <v>51</v>
      </c>
      <c r="M37" s="66" t="s">
        <v>110</v>
      </c>
      <c r="N37" s="65" t="s">
        <v>125</v>
      </c>
      <c r="O37" s="65">
        <v>60</v>
      </c>
      <c r="P37" s="65"/>
      <c r="Q37" s="68" t="str">
        <f t="shared" si="3"/>
        <v/>
      </c>
      <c r="R37" s="69">
        <v>0</v>
      </c>
      <c r="S37" s="70"/>
      <c r="T37" s="65"/>
      <c r="U37" s="64" t="str">
        <f t="shared" ca="1" si="4"/>
        <v>Đang diễn ra</v>
      </c>
      <c r="V37" s="64" t="str">
        <f t="shared" si="5"/>
        <v>Q4</v>
      </c>
      <c r="W37" s="64">
        <f t="shared" si="6"/>
        <v>2026</v>
      </c>
      <c r="X37" s="64">
        <f>IF(E37="","",IF(AND(YEAR(E37)=Lịch!$T$2,ROUNDUP(MONTH(E37)/3,0)=Lịch!$W$2),MAX(X$6:X36)+1,""))</f>
        <v>2</v>
      </c>
      <c r="Y37" s="66" t="s">
        <v>293</v>
      </c>
      <c r="Z37" s="71" t="str">
        <f t="shared" si="7"/>
        <v/>
      </c>
      <c r="AA37" s="72">
        <f t="shared" ca="1" si="8"/>
        <v>46314.00037</v>
      </c>
    </row>
    <row r="38" spans="1:27" ht="18.75" customHeight="1" x14ac:dyDescent="0.25">
      <c r="A38" s="64">
        <f t="shared" si="0"/>
        <v>32</v>
      </c>
      <c r="B38" s="73" t="s">
        <v>199</v>
      </c>
      <c r="C38" s="74" t="s">
        <v>196</v>
      </c>
      <c r="D38" s="73" t="s">
        <v>70</v>
      </c>
      <c r="E38" s="75">
        <v>46315</v>
      </c>
      <c r="F38" s="75">
        <v>46317</v>
      </c>
      <c r="G38" s="64">
        <f t="shared" si="1"/>
        <v>3</v>
      </c>
      <c r="H38" s="73">
        <v>8</v>
      </c>
      <c r="I38" s="64">
        <f t="shared" si="2"/>
        <v>24</v>
      </c>
      <c r="J38" s="74" t="s">
        <v>292</v>
      </c>
      <c r="K38" s="73" t="s">
        <v>40</v>
      </c>
      <c r="L38" s="73" t="s">
        <v>49</v>
      </c>
      <c r="M38" s="74" t="s">
        <v>155</v>
      </c>
      <c r="N38" s="73" t="s">
        <v>129</v>
      </c>
      <c r="O38" s="73">
        <v>20</v>
      </c>
      <c r="P38" s="73"/>
      <c r="Q38" s="68" t="str">
        <f t="shared" si="3"/>
        <v/>
      </c>
      <c r="R38" s="76">
        <v>25000000</v>
      </c>
      <c r="S38" s="77"/>
      <c r="T38" s="73" t="s">
        <v>197</v>
      </c>
      <c r="U38" s="64" t="str">
        <f t="shared" ca="1" si="4"/>
        <v>Hủy</v>
      </c>
      <c r="V38" s="64" t="str">
        <f t="shared" si="5"/>
        <v>Q4</v>
      </c>
      <c r="W38" s="64">
        <f t="shared" si="6"/>
        <v>2026</v>
      </c>
      <c r="X38" s="64">
        <f>IF(E38="","",IF(AND(YEAR(E38)=Lịch!$T$2,ROUNDUP(MONTH(E38)/3,0)=Lịch!$W$2),MAX(X$6:X37)+1,""))</f>
        <v>3</v>
      </c>
      <c r="Y38" s="74" t="s">
        <v>294</v>
      </c>
      <c r="Z38" s="71" t="str">
        <f t="shared" si="7"/>
        <v/>
      </c>
      <c r="AA38" s="72" t="str">
        <f t="shared" ca="1" si="8"/>
        <v/>
      </c>
    </row>
    <row r="39" spans="1:27" ht="18.75" customHeight="1" x14ac:dyDescent="0.25">
      <c r="A39" s="64">
        <f t="shared" ref="A39:A70" si="9">IF(C39="","",ROW()-6)</f>
        <v>33</v>
      </c>
      <c r="B39" s="65" t="s">
        <v>201</v>
      </c>
      <c r="C39" s="66" t="s">
        <v>200</v>
      </c>
      <c r="D39" s="65" t="s">
        <v>71</v>
      </c>
      <c r="E39" s="67">
        <v>46316</v>
      </c>
      <c r="F39" s="67">
        <v>46316</v>
      </c>
      <c r="G39" s="64">
        <f t="shared" ref="G39:G70" si="10">IF(OR(E39="",F39=""),"",NETWORKDAYS(E39,F39))</f>
        <v>1</v>
      </c>
      <c r="H39" s="65">
        <v>4</v>
      </c>
      <c r="I39" s="64">
        <f t="shared" ref="I39:I70" si="11">IF(OR(G39="",H39=""),"",G39*H39)</f>
        <v>4</v>
      </c>
      <c r="J39" s="66" t="s">
        <v>124</v>
      </c>
      <c r="K39" s="65" t="s">
        <v>38</v>
      </c>
      <c r="L39" s="65" t="s">
        <v>49</v>
      </c>
      <c r="M39" s="66" t="s">
        <v>115</v>
      </c>
      <c r="N39" s="65" t="s">
        <v>125</v>
      </c>
      <c r="O39" s="65">
        <v>20</v>
      </c>
      <c r="P39" s="65"/>
      <c r="Q39" s="68" t="str">
        <f t="shared" ref="Q39:Q70" si="12">IF(OR(O39="",O39=0,P39=""),"",P39/O39)</f>
        <v/>
      </c>
      <c r="R39" s="69">
        <v>0</v>
      </c>
      <c r="S39" s="70"/>
      <c r="T39" s="65"/>
      <c r="U39" s="64" t="str">
        <f t="shared" ref="U39:U70" ca="1" si="13">IF(C39="","",IF(T39&lt;&gt;"",T39,IF(E39="","Chưa xếp lịch",IF(TODAY()&lt;E39,"Sắp diễn ra",IF(TODAY()&gt;F39,"Đã hoàn thành","Đang diễn ra")))))</f>
        <v>Sắp diễn ra</v>
      </c>
      <c r="V39" s="64" t="str">
        <f t="shared" ref="V39:V70" si="14">IF(E39="","","Q"&amp;ROUNDUP(MONTH(E39)/3,0))</f>
        <v>Q4</v>
      </c>
      <c r="W39" s="64">
        <f t="shared" ref="W39:W70" si="15">IF(E39="","",YEAR(E39))</f>
        <v>2026</v>
      </c>
      <c r="X39" s="64">
        <f>IF(E39="","",IF(AND(YEAR(E39)=Lịch!$T$2,ROUNDUP(MONTH(E39)/3,0)=Lịch!$W$2),MAX(X$6:X38)+1,""))</f>
        <v>4</v>
      </c>
      <c r="Y39" s="66"/>
      <c r="Z39" s="71" t="str">
        <f t="shared" ref="Z39:Z70" si="16">IF(OR(I39="",P39=""),"",I39*P39)</f>
        <v/>
      </c>
      <c r="AA39" s="72">
        <f t="shared" ref="AA39:AA70" ca="1" si="17">IF(AND(C39&lt;&gt;"",T39="",E39&lt;&gt;"",F39&gt;=TODAY()),E39+ROW()/100000,"")</f>
        <v>46316.00039</v>
      </c>
    </row>
    <row r="40" spans="1:27" ht="18.75" customHeight="1" x14ac:dyDescent="0.25">
      <c r="A40" s="64">
        <f t="shared" si="9"/>
        <v>34</v>
      </c>
      <c r="B40" s="73" t="s">
        <v>204</v>
      </c>
      <c r="C40" s="74" t="s">
        <v>202</v>
      </c>
      <c r="D40" s="73" t="s">
        <v>70</v>
      </c>
      <c r="E40" s="75">
        <v>46316</v>
      </c>
      <c r="F40" s="75">
        <v>46316</v>
      </c>
      <c r="G40" s="64">
        <f t="shared" si="10"/>
        <v>1</v>
      </c>
      <c r="H40" s="73">
        <v>4</v>
      </c>
      <c r="I40" s="64">
        <f t="shared" si="11"/>
        <v>4</v>
      </c>
      <c r="J40" s="74" t="s">
        <v>216</v>
      </c>
      <c r="K40" s="73" t="s">
        <v>38</v>
      </c>
      <c r="L40" s="73" t="s">
        <v>49</v>
      </c>
      <c r="M40" s="74" t="s">
        <v>286</v>
      </c>
      <c r="N40" s="73" t="s">
        <v>129</v>
      </c>
      <c r="O40" s="73">
        <v>12</v>
      </c>
      <c r="P40" s="73"/>
      <c r="Q40" s="68" t="str">
        <f t="shared" si="12"/>
        <v/>
      </c>
      <c r="R40" s="76">
        <v>0</v>
      </c>
      <c r="S40" s="77"/>
      <c r="T40" s="73"/>
      <c r="U40" s="64" t="str">
        <f t="shared" ca="1" si="13"/>
        <v>Sắp diễn ra</v>
      </c>
      <c r="V40" s="64" t="str">
        <f t="shared" si="14"/>
        <v>Q4</v>
      </c>
      <c r="W40" s="64">
        <f t="shared" si="15"/>
        <v>2026</v>
      </c>
      <c r="X40" s="64">
        <f>IF(E40="","",IF(AND(YEAR(E40)=Lịch!$T$2,ROUNDUP(MONTH(E40)/3,0)=Lịch!$W$2),MAX(X$6:X39)+1,""))</f>
        <v>5</v>
      </c>
      <c r="Y40" s="74"/>
      <c r="Z40" s="71" t="str">
        <f t="shared" si="16"/>
        <v/>
      </c>
      <c r="AA40" s="72">
        <f t="shared" ca="1" si="17"/>
        <v>46316.0004</v>
      </c>
    </row>
    <row r="41" spans="1:27" ht="18.75" customHeight="1" x14ac:dyDescent="0.25">
      <c r="A41" s="64">
        <f t="shared" si="9"/>
        <v>35</v>
      </c>
      <c r="B41" s="65" t="s">
        <v>206</v>
      </c>
      <c r="C41" s="66" t="s">
        <v>205</v>
      </c>
      <c r="D41" s="65" t="s">
        <v>72</v>
      </c>
      <c r="E41" s="67">
        <v>46351</v>
      </c>
      <c r="F41" s="67">
        <v>46351</v>
      </c>
      <c r="G41" s="64">
        <f t="shared" si="10"/>
        <v>1</v>
      </c>
      <c r="H41" s="65">
        <v>4</v>
      </c>
      <c r="I41" s="64">
        <f t="shared" si="11"/>
        <v>4</v>
      </c>
      <c r="J41" s="66" t="s">
        <v>150</v>
      </c>
      <c r="K41" s="65" t="s">
        <v>38</v>
      </c>
      <c r="L41" s="65" t="s">
        <v>49</v>
      </c>
      <c r="M41" s="66" t="s">
        <v>155</v>
      </c>
      <c r="N41" s="65" t="s">
        <v>125</v>
      </c>
      <c r="O41" s="65">
        <v>30</v>
      </c>
      <c r="P41" s="65"/>
      <c r="Q41" s="68" t="str">
        <f t="shared" si="12"/>
        <v/>
      </c>
      <c r="R41" s="69">
        <v>1000000</v>
      </c>
      <c r="S41" s="70"/>
      <c r="T41" s="65"/>
      <c r="U41" s="64" t="str">
        <f t="shared" ca="1" si="13"/>
        <v>Sắp diễn ra</v>
      </c>
      <c r="V41" s="64" t="str">
        <f t="shared" si="14"/>
        <v>Q4</v>
      </c>
      <c r="W41" s="64">
        <f t="shared" si="15"/>
        <v>2026</v>
      </c>
      <c r="X41" s="64">
        <f>IF(E41="","",IF(AND(YEAR(E41)=Lịch!$T$2,ROUNDUP(MONTH(E41)/3,0)=Lịch!$W$2),MAX(X$6:X40)+1,""))</f>
        <v>6</v>
      </c>
      <c r="Y41" s="66"/>
      <c r="Z41" s="71" t="str">
        <f t="shared" si="16"/>
        <v/>
      </c>
      <c r="AA41" s="72">
        <f t="shared" ca="1" si="17"/>
        <v>46351.00041</v>
      </c>
    </row>
    <row r="42" spans="1:27" ht="18.75" customHeight="1" x14ac:dyDescent="0.25">
      <c r="A42" s="64">
        <f t="shared" si="9"/>
        <v>36</v>
      </c>
      <c r="B42" s="73" t="s">
        <v>192</v>
      </c>
      <c r="C42" s="74" t="s">
        <v>207</v>
      </c>
      <c r="D42" s="73" t="s">
        <v>68</v>
      </c>
      <c r="E42" s="75">
        <v>46351</v>
      </c>
      <c r="F42" s="75">
        <v>46351</v>
      </c>
      <c r="G42" s="64">
        <f t="shared" si="10"/>
        <v>1</v>
      </c>
      <c r="H42" s="73">
        <v>8</v>
      </c>
      <c r="I42" s="64">
        <f t="shared" si="11"/>
        <v>8</v>
      </c>
      <c r="J42" s="74" t="s">
        <v>279</v>
      </c>
      <c r="K42" s="73" t="s">
        <v>40</v>
      </c>
      <c r="L42" s="73" t="s">
        <v>49</v>
      </c>
      <c r="M42" s="74" t="s">
        <v>136</v>
      </c>
      <c r="N42" s="73" t="s">
        <v>164</v>
      </c>
      <c r="O42" s="73">
        <v>10</v>
      </c>
      <c r="P42" s="73"/>
      <c r="Q42" s="68" t="str">
        <f t="shared" si="12"/>
        <v/>
      </c>
      <c r="R42" s="76">
        <v>15000000</v>
      </c>
      <c r="S42" s="77"/>
      <c r="T42" s="73"/>
      <c r="U42" s="64" t="str">
        <f t="shared" ca="1" si="13"/>
        <v>Sắp diễn ra</v>
      </c>
      <c r="V42" s="64" t="str">
        <f t="shared" si="14"/>
        <v>Q4</v>
      </c>
      <c r="W42" s="64">
        <f t="shared" si="15"/>
        <v>2026</v>
      </c>
      <c r="X42" s="64">
        <f>IF(E42="","",IF(AND(YEAR(E42)=Lịch!$T$2,ROUNDUP(MONTH(E42)/3,0)=Lịch!$W$2),MAX(X$6:X41)+1,""))</f>
        <v>7</v>
      </c>
      <c r="Y42" s="74"/>
      <c r="Z42" s="71" t="str">
        <f t="shared" si="16"/>
        <v/>
      </c>
      <c r="AA42" s="72">
        <f t="shared" ca="1" si="17"/>
        <v>46351.00042</v>
      </c>
    </row>
    <row r="43" spans="1:27" ht="18.75" customHeight="1" x14ac:dyDescent="0.25">
      <c r="A43" s="64">
        <f t="shared" si="9"/>
        <v>37</v>
      </c>
      <c r="B43" s="65" t="s">
        <v>208</v>
      </c>
      <c r="C43" s="66" t="s">
        <v>209</v>
      </c>
      <c r="D43" s="65" t="s">
        <v>71</v>
      </c>
      <c r="E43" s="67">
        <v>46365</v>
      </c>
      <c r="F43" s="67">
        <v>46365</v>
      </c>
      <c r="G43" s="64">
        <f t="shared" si="10"/>
        <v>1</v>
      </c>
      <c r="H43" s="65">
        <v>4</v>
      </c>
      <c r="I43" s="64">
        <f t="shared" si="11"/>
        <v>4</v>
      </c>
      <c r="J43" s="66" t="s">
        <v>150</v>
      </c>
      <c r="K43" s="65" t="s">
        <v>38</v>
      </c>
      <c r="L43" s="65" t="s">
        <v>49</v>
      </c>
      <c r="M43" s="66" t="s">
        <v>136</v>
      </c>
      <c r="N43" s="65" t="s">
        <v>133</v>
      </c>
      <c r="O43" s="65">
        <v>10</v>
      </c>
      <c r="P43" s="65"/>
      <c r="Q43" s="68" t="str">
        <f t="shared" si="12"/>
        <v/>
      </c>
      <c r="R43" s="69">
        <v>0</v>
      </c>
      <c r="S43" s="70"/>
      <c r="T43" s="65"/>
      <c r="U43" s="64" t="str">
        <f t="shared" ca="1" si="13"/>
        <v>Sắp diễn ra</v>
      </c>
      <c r="V43" s="64" t="str">
        <f t="shared" si="14"/>
        <v>Q4</v>
      </c>
      <c r="W43" s="64">
        <f t="shared" si="15"/>
        <v>2026</v>
      </c>
      <c r="X43" s="64">
        <f>IF(E43="","",IF(AND(YEAR(E43)=Lịch!$T$2,ROUNDUP(MONTH(E43)/3,0)=Lịch!$W$2),MAX(X$6:X42)+1,""))</f>
        <v>8</v>
      </c>
      <c r="Y43" s="66"/>
      <c r="Z43" s="71" t="str">
        <f t="shared" si="16"/>
        <v/>
      </c>
      <c r="AA43" s="72">
        <f t="shared" ca="1" si="17"/>
        <v>46365.00043</v>
      </c>
    </row>
    <row r="44" spans="1:27" ht="18.75" customHeight="1" x14ac:dyDescent="0.25">
      <c r="A44" s="64">
        <f t="shared" si="9"/>
        <v>38</v>
      </c>
      <c r="B44" s="73" t="s">
        <v>210</v>
      </c>
      <c r="C44" s="74" t="s">
        <v>211</v>
      </c>
      <c r="D44" s="73" t="s">
        <v>68</v>
      </c>
      <c r="E44" s="75">
        <v>46384</v>
      </c>
      <c r="F44" s="75">
        <v>46385</v>
      </c>
      <c r="G44" s="64">
        <f t="shared" si="10"/>
        <v>2</v>
      </c>
      <c r="H44" s="73">
        <v>8</v>
      </c>
      <c r="I44" s="64">
        <f t="shared" si="11"/>
        <v>16</v>
      </c>
      <c r="J44" s="74" t="s">
        <v>279</v>
      </c>
      <c r="K44" s="73" t="s">
        <v>40</v>
      </c>
      <c r="L44" s="73" t="s">
        <v>49</v>
      </c>
      <c r="M44" s="74" t="s">
        <v>155</v>
      </c>
      <c r="N44" s="73" t="s">
        <v>125</v>
      </c>
      <c r="O44" s="73">
        <v>25</v>
      </c>
      <c r="P44" s="73"/>
      <c r="Q44" s="68" t="str">
        <f t="shared" si="12"/>
        <v/>
      </c>
      <c r="R44" s="76">
        <v>20000000</v>
      </c>
      <c r="S44" s="77"/>
      <c r="T44" s="73"/>
      <c r="U44" s="64" t="str">
        <f t="shared" ca="1" si="13"/>
        <v>Sắp diễn ra</v>
      </c>
      <c r="V44" s="64" t="str">
        <f t="shared" si="14"/>
        <v>Q4</v>
      </c>
      <c r="W44" s="64">
        <f t="shared" si="15"/>
        <v>2026</v>
      </c>
      <c r="X44" s="64">
        <f>IF(E44="","",IF(AND(YEAR(E44)=Lịch!$T$2,ROUNDUP(MONTH(E44)/3,0)=Lịch!$W$2),MAX(X$6:X43)+1,""))</f>
        <v>9</v>
      </c>
      <c r="Y44" s="74"/>
      <c r="Z44" s="71" t="str">
        <f t="shared" si="16"/>
        <v/>
      </c>
      <c r="AA44" s="72">
        <f t="shared" ca="1" si="17"/>
        <v>46384.00044</v>
      </c>
    </row>
    <row r="45" spans="1:27" ht="18.75" customHeight="1" x14ac:dyDescent="0.25">
      <c r="A45" s="64" t="str">
        <f t="shared" si="9"/>
        <v/>
      </c>
      <c r="B45" s="65"/>
      <c r="C45" s="66"/>
      <c r="D45" s="65"/>
      <c r="E45" s="67"/>
      <c r="F45" s="67"/>
      <c r="G45" s="64" t="str">
        <f t="shared" si="10"/>
        <v/>
      </c>
      <c r="H45" s="65"/>
      <c r="I45" s="64" t="str">
        <f t="shared" si="11"/>
        <v/>
      </c>
      <c r="J45" s="66"/>
      <c r="K45" s="65"/>
      <c r="L45" s="65"/>
      <c r="M45" s="66"/>
      <c r="N45" s="65"/>
      <c r="O45" s="65"/>
      <c r="P45" s="65"/>
      <c r="Q45" s="68" t="str">
        <f t="shared" si="12"/>
        <v/>
      </c>
      <c r="R45" s="69"/>
      <c r="S45" s="70"/>
      <c r="T45" s="65"/>
      <c r="U45" s="64" t="str">
        <f t="shared" ca="1" si="13"/>
        <v/>
      </c>
      <c r="V45" s="64" t="str">
        <f t="shared" si="14"/>
        <v/>
      </c>
      <c r="W45" s="64" t="str">
        <f t="shared" si="15"/>
        <v/>
      </c>
      <c r="X45" s="64" t="str">
        <f>IF(E45="","",IF(AND(YEAR(E45)=Lịch!$T$2,ROUNDUP(MONTH(E45)/3,0)=Lịch!$W$2),MAX(X$6:X44)+1,""))</f>
        <v/>
      </c>
      <c r="Y45" s="66"/>
      <c r="Z45" s="71" t="str">
        <f t="shared" si="16"/>
        <v/>
      </c>
      <c r="AA45" s="72" t="str">
        <f t="shared" ca="1" si="17"/>
        <v/>
      </c>
    </row>
    <row r="46" spans="1:27" ht="18.75" customHeight="1" x14ac:dyDescent="0.25">
      <c r="A46" s="64" t="str">
        <f t="shared" si="9"/>
        <v/>
      </c>
      <c r="B46" s="73"/>
      <c r="C46" s="74"/>
      <c r="D46" s="73"/>
      <c r="E46" s="75"/>
      <c r="F46" s="75"/>
      <c r="G46" s="64" t="str">
        <f t="shared" si="10"/>
        <v/>
      </c>
      <c r="H46" s="73"/>
      <c r="I46" s="64" t="str">
        <f t="shared" si="11"/>
        <v/>
      </c>
      <c r="J46" s="74"/>
      <c r="K46" s="73"/>
      <c r="L46" s="73"/>
      <c r="M46" s="74"/>
      <c r="N46" s="73"/>
      <c r="O46" s="73"/>
      <c r="P46" s="73"/>
      <c r="Q46" s="68" t="str">
        <f t="shared" si="12"/>
        <v/>
      </c>
      <c r="R46" s="76"/>
      <c r="S46" s="77"/>
      <c r="T46" s="73"/>
      <c r="U46" s="64" t="str">
        <f t="shared" ca="1" si="13"/>
        <v/>
      </c>
      <c r="V46" s="64" t="str">
        <f t="shared" si="14"/>
        <v/>
      </c>
      <c r="W46" s="64" t="str">
        <f t="shared" si="15"/>
        <v/>
      </c>
      <c r="X46" s="64" t="str">
        <f>IF(E46="","",IF(AND(YEAR(E46)=Lịch!$T$2,ROUNDUP(MONTH(E46)/3,0)=Lịch!$W$2),MAX(X$6:X45)+1,""))</f>
        <v/>
      </c>
      <c r="Y46" s="74"/>
      <c r="Z46" s="71" t="str">
        <f t="shared" si="16"/>
        <v/>
      </c>
      <c r="AA46" s="72" t="str">
        <f t="shared" ca="1" si="17"/>
        <v/>
      </c>
    </row>
    <row r="47" spans="1:27" ht="18.75" customHeight="1" x14ac:dyDescent="0.25">
      <c r="A47" s="64" t="str">
        <f t="shared" si="9"/>
        <v/>
      </c>
      <c r="B47" s="65"/>
      <c r="C47" s="66"/>
      <c r="D47" s="65"/>
      <c r="E47" s="67"/>
      <c r="F47" s="67"/>
      <c r="G47" s="64" t="str">
        <f t="shared" si="10"/>
        <v/>
      </c>
      <c r="H47" s="65"/>
      <c r="I47" s="64" t="str">
        <f t="shared" si="11"/>
        <v/>
      </c>
      <c r="J47" s="66"/>
      <c r="K47" s="65"/>
      <c r="L47" s="65"/>
      <c r="M47" s="66"/>
      <c r="N47" s="65"/>
      <c r="O47" s="65"/>
      <c r="P47" s="65"/>
      <c r="Q47" s="68" t="str">
        <f t="shared" si="12"/>
        <v/>
      </c>
      <c r="R47" s="69"/>
      <c r="S47" s="70"/>
      <c r="T47" s="65"/>
      <c r="U47" s="64" t="str">
        <f t="shared" ca="1" si="13"/>
        <v/>
      </c>
      <c r="V47" s="64" t="str">
        <f t="shared" si="14"/>
        <v/>
      </c>
      <c r="W47" s="64" t="str">
        <f t="shared" si="15"/>
        <v/>
      </c>
      <c r="X47" s="64" t="str">
        <f>IF(E47="","",IF(AND(YEAR(E47)=Lịch!$T$2,ROUNDUP(MONTH(E47)/3,0)=Lịch!$W$2),MAX(X$6:X46)+1,""))</f>
        <v/>
      </c>
      <c r="Y47" s="66"/>
      <c r="Z47" s="71" t="str">
        <f t="shared" si="16"/>
        <v/>
      </c>
      <c r="AA47" s="72" t="str">
        <f t="shared" ca="1" si="17"/>
        <v/>
      </c>
    </row>
    <row r="48" spans="1:27" ht="18.75" customHeight="1" x14ac:dyDescent="0.25">
      <c r="A48" s="64" t="str">
        <f t="shared" si="9"/>
        <v/>
      </c>
      <c r="B48" s="73"/>
      <c r="C48" s="74"/>
      <c r="D48" s="73"/>
      <c r="E48" s="75"/>
      <c r="F48" s="75"/>
      <c r="G48" s="64" t="str">
        <f t="shared" si="10"/>
        <v/>
      </c>
      <c r="H48" s="73"/>
      <c r="I48" s="64" t="str">
        <f t="shared" si="11"/>
        <v/>
      </c>
      <c r="J48" s="74"/>
      <c r="K48" s="73"/>
      <c r="L48" s="73"/>
      <c r="M48" s="74"/>
      <c r="N48" s="73"/>
      <c r="O48" s="73"/>
      <c r="P48" s="73"/>
      <c r="Q48" s="68" t="str">
        <f t="shared" si="12"/>
        <v/>
      </c>
      <c r="R48" s="76"/>
      <c r="S48" s="77"/>
      <c r="T48" s="73"/>
      <c r="U48" s="64" t="str">
        <f t="shared" ca="1" si="13"/>
        <v/>
      </c>
      <c r="V48" s="64" t="str">
        <f t="shared" si="14"/>
        <v/>
      </c>
      <c r="W48" s="64" t="str">
        <f t="shared" si="15"/>
        <v/>
      </c>
      <c r="X48" s="64" t="str">
        <f>IF(E48="","",IF(AND(YEAR(E48)=Lịch!$T$2,ROUNDUP(MONTH(E48)/3,0)=Lịch!$W$2),MAX(X$6:X47)+1,""))</f>
        <v/>
      </c>
      <c r="Y48" s="74"/>
      <c r="Z48" s="71" t="str">
        <f t="shared" si="16"/>
        <v/>
      </c>
      <c r="AA48" s="72" t="str">
        <f t="shared" ca="1" si="17"/>
        <v/>
      </c>
    </row>
    <row r="49" spans="1:27" ht="18.75" customHeight="1" x14ac:dyDescent="0.25">
      <c r="A49" s="64" t="str">
        <f t="shared" si="9"/>
        <v/>
      </c>
      <c r="B49" s="65"/>
      <c r="C49" s="66"/>
      <c r="D49" s="65"/>
      <c r="E49" s="67"/>
      <c r="F49" s="67"/>
      <c r="G49" s="64" t="str">
        <f t="shared" si="10"/>
        <v/>
      </c>
      <c r="H49" s="65"/>
      <c r="I49" s="64" t="str">
        <f t="shared" si="11"/>
        <v/>
      </c>
      <c r="J49" s="66"/>
      <c r="K49" s="65"/>
      <c r="L49" s="65"/>
      <c r="M49" s="66"/>
      <c r="N49" s="65"/>
      <c r="O49" s="65"/>
      <c r="P49" s="65"/>
      <c r="Q49" s="68" t="str">
        <f t="shared" si="12"/>
        <v/>
      </c>
      <c r="R49" s="69"/>
      <c r="S49" s="70"/>
      <c r="T49" s="65"/>
      <c r="U49" s="64" t="str">
        <f t="shared" ca="1" si="13"/>
        <v/>
      </c>
      <c r="V49" s="64" t="str">
        <f t="shared" si="14"/>
        <v/>
      </c>
      <c r="W49" s="64" t="str">
        <f t="shared" si="15"/>
        <v/>
      </c>
      <c r="X49" s="64" t="str">
        <f>IF(E49="","",IF(AND(YEAR(E49)=Lịch!$T$2,ROUNDUP(MONTH(E49)/3,0)=Lịch!$W$2),MAX(X$6:X48)+1,""))</f>
        <v/>
      </c>
      <c r="Y49" s="66"/>
      <c r="Z49" s="71" t="str">
        <f t="shared" si="16"/>
        <v/>
      </c>
      <c r="AA49" s="72" t="str">
        <f t="shared" ca="1" si="17"/>
        <v/>
      </c>
    </row>
    <row r="50" spans="1:27" ht="18.75" customHeight="1" x14ac:dyDescent="0.25">
      <c r="A50" s="64" t="str">
        <f t="shared" si="9"/>
        <v/>
      </c>
      <c r="B50" s="73"/>
      <c r="C50" s="74"/>
      <c r="D50" s="73"/>
      <c r="E50" s="75"/>
      <c r="F50" s="75"/>
      <c r="G50" s="64" t="str">
        <f t="shared" si="10"/>
        <v/>
      </c>
      <c r="H50" s="73"/>
      <c r="I50" s="64" t="str">
        <f t="shared" si="11"/>
        <v/>
      </c>
      <c r="J50" s="74"/>
      <c r="K50" s="73"/>
      <c r="L50" s="73"/>
      <c r="M50" s="74"/>
      <c r="N50" s="73"/>
      <c r="O50" s="73"/>
      <c r="P50" s="73"/>
      <c r="Q50" s="68" t="str">
        <f t="shared" si="12"/>
        <v/>
      </c>
      <c r="R50" s="76"/>
      <c r="S50" s="77"/>
      <c r="T50" s="73"/>
      <c r="U50" s="64" t="str">
        <f t="shared" ca="1" si="13"/>
        <v/>
      </c>
      <c r="V50" s="64" t="str">
        <f t="shared" si="14"/>
        <v/>
      </c>
      <c r="W50" s="64" t="str">
        <f t="shared" si="15"/>
        <v/>
      </c>
      <c r="X50" s="64" t="str">
        <f>IF(E50="","",IF(AND(YEAR(E50)=Lịch!$T$2,ROUNDUP(MONTH(E50)/3,0)=Lịch!$W$2),MAX(X$6:X49)+1,""))</f>
        <v/>
      </c>
      <c r="Y50" s="74"/>
      <c r="Z50" s="71" t="str">
        <f t="shared" si="16"/>
        <v/>
      </c>
      <c r="AA50" s="72" t="str">
        <f t="shared" ca="1" si="17"/>
        <v/>
      </c>
    </row>
    <row r="51" spans="1:27" ht="18.75" customHeight="1" x14ac:dyDescent="0.25">
      <c r="A51" s="64" t="str">
        <f t="shared" si="9"/>
        <v/>
      </c>
      <c r="B51" s="65"/>
      <c r="C51" s="66"/>
      <c r="D51" s="65"/>
      <c r="E51" s="67"/>
      <c r="F51" s="67"/>
      <c r="G51" s="64" t="str">
        <f t="shared" si="10"/>
        <v/>
      </c>
      <c r="H51" s="65"/>
      <c r="I51" s="64" t="str">
        <f t="shared" si="11"/>
        <v/>
      </c>
      <c r="J51" s="66"/>
      <c r="K51" s="65"/>
      <c r="L51" s="65"/>
      <c r="M51" s="66"/>
      <c r="N51" s="65"/>
      <c r="O51" s="65"/>
      <c r="P51" s="65"/>
      <c r="Q51" s="68" t="str">
        <f t="shared" si="12"/>
        <v/>
      </c>
      <c r="R51" s="69"/>
      <c r="S51" s="70"/>
      <c r="T51" s="65"/>
      <c r="U51" s="64" t="str">
        <f t="shared" ca="1" si="13"/>
        <v/>
      </c>
      <c r="V51" s="64" t="str">
        <f t="shared" si="14"/>
        <v/>
      </c>
      <c r="W51" s="64" t="str">
        <f t="shared" si="15"/>
        <v/>
      </c>
      <c r="X51" s="64" t="str">
        <f>IF(E51="","",IF(AND(YEAR(E51)=Lịch!$T$2,ROUNDUP(MONTH(E51)/3,0)=Lịch!$W$2),MAX(X$6:X50)+1,""))</f>
        <v/>
      </c>
      <c r="Y51" s="66"/>
      <c r="Z51" s="71" t="str">
        <f t="shared" si="16"/>
        <v/>
      </c>
      <c r="AA51" s="72" t="str">
        <f t="shared" ca="1" si="17"/>
        <v/>
      </c>
    </row>
    <row r="52" spans="1:27" ht="18.75" customHeight="1" x14ac:dyDescent="0.25">
      <c r="A52" s="64" t="str">
        <f t="shared" si="9"/>
        <v/>
      </c>
      <c r="B52" s="73"/>
      <c r="C52" s="74"/>
      <c r="D52" s="73"/>
      <c r="E52" s="75"/>
      <c r="F52" s="75"/>
      <c r="G52" s="64" t="str">
        <f t="shared" si="10"/>
        <v/>
      </c>
      <c r="H52" s="73"/>
      <c r="I52" s="64" t="str">
        <f t="shared" si="11"/>
        <v/>
      </c>
      <c r="J52" s="74"/>
      <c r="K52" s="73"/>
      <c r="L52" s="73"/>
      <c r="M52" s="74"/>
      <c r="N52" s="73"/>
      <c r="O52" s="73"/>
      <c r="P52" s="73"/>
      <c r="Q52" s="68" t="str">
        <f t="shared" si="12"/>
        <v/>
      </c>
      <c r="R52" s="76"/>
      <c r="S52" s="77"/>
      <c r="T52" s="73"/>
      <c r="U52" s="64" t="str">
        <f t="shared" ca="1" si="13"/>
        <v/>
      </c>
      <c r="V52" s="64" t="str">
        <f t="shared" si="14"/>
        <v/>
      </c>
      <c r="W52" s="64" t="str">
        <f t="shared" si="15"/>
        <v/>
      </c>
      <c r="X52" s="64" t="str">
        <f>IF(E52="","",IF(AND(YEAR(E52)=Lịch!$T$2,ROUNDUP(MONTH(E52)/3,0)=Lịch!$W$2),MAX(X$6:X51)+1,""))</f>
        <v/>
      </c>
      <c r="Y52" s="74"/>
      <c r="Z52" s="71" t="str">
        <f t="shared" si="16"/>
        <v/>
      </c>
      <c r="AA52" s="72" t="str">
        <f t="shared" ca="1" si="17"/>
        <v/>
      </c>
    </row>
    <row r="53" spans="1:27" ht="18.75" customHeight="1" x14ac:dyDescent="0.25">
      <c r="A53" s="64" t="str">
        <f t="shared" si="9"/>
        <v/>
      </c>
      <c r="B53" s="65"/>
      <c r="C53" s="66"/>
      <c r="D53" s="65"/>
      <c r="E53" s="67"/>
      <c r="F53" s="67"/>
      <c r="G53" s="64" t="str">
        <f t="shared" si="10"/>
        <v/>
      </c>
      <c r="H53" s="65"/>
      <c r="I53" s="64" t="str">
        <f t="shared" si="11"/>
        <v/>
      </c>
      <c r="J53" s="66"/>
      <c r="K53" s="65"/>
      <c r="L53" s="65"/>
      <c r="M53" s="66"/>
      <c r="N53" s="65"/>
      <c r="O53" s="65"/>
      <c r="P53" s="65"/>
      <c r="Q53" s="68" t="str">
        <f t="shared" si="12"/>
        <v/>
      </c>
      <c r="R53" s="69"/>
      <c r="S53" s="70"/>
      <c r="T53" s="65"/>
      <c r="U53" s="64" t="str">
        <f t="shared" ca="1" si="13"/>
        <v/>
      </c>
      <c r="V53" s="64" t="str">
        <f t="shared" si="14"/>
        <v/>
      </c>
      <c r="W53" s="64" t="str">
        <f t="shared" si="15"/>
        <v/>
      </c>
      <c r="X53" s="64" t="str">
        <f>IF(E53="","",IF(AND(YEAR(E53)=Lịch!$T$2,ROUNDUP(MONTH(E53)/3,0)=Lịch!$W$2),MAX(X$6:X52)+1,""))</f>
        <v/>
      </c>
      <c r="Y53" s="66"/>
      <c r="Z53" s="71" t="str">
        <f t="shared" si="16"/>
        <v/>
      </c>
      <c r="AA53" s="72" t="str">
        <f t="shared" ca="1" si="17"/>
        <v/>
      </c>
    </row>
    <row r="54" spans="1:27" ht="18.75" customHeight="1" x14ac:dyDescent="0.25">
      <c r="A54" s="64" t="str">
        <f t="shared" si="9"/>
        <v/>
      </c>
      <c r="B54" s="73"/>
      <c r="C54" s="74"/>
      <c r="D54" s="73"/>
      <c r="E54" s="75"/>
      <c r="F54" s="75"/>
      <c r="G54" s="64" t="str">
        <f t="shared" si="10"/>
        <v/>
      </c>
      <c r="H54" s="73"/>
      <c r="I54" s="64" t="str">
        <f t="shared" si="11"/>
        <v/>
      </c>
      <c r="J54" s="74"/>
      <c r="K54" s="73"/>
      <c r="L54" s="73"/>
      <c r="M54" s="74"/>
      <c r="N54" s="73"/>
      <c r="O54" s="73"/>
      <c r="P54" s="73"/>
      <c r="Q54" s="68" t="str">
        <f t="shared" si="12"/>
        <v/>
      </c>
      <c r="R54" s="76"/>
      <c r="S54" s="77"/>
      <c r="T54" s="73"/>
      <c r="U54" s="64" t="str">
        <f t="shared" ca="1" si="13"/>
        <v/>
      </c>
      <c r="V54" s="64" t="str">
        <f t="shared" si="14"/>
        <v/>
      </c>
      <c r="W54" s="64" t="str">
        <f t="shared" si="15"/>
        <v/>
      </c>
      <c r="X54" s="64" t="str">
        <f>IF(E54="","",IF(AND(YEAR(E54)=Lịch!$T$2,ROUNDUP(MONTH(E54)/3,0)=Lịch!$W$2),MAX(X$6:X53)+1,""))</f>
        <v/>
      </c>
      <c r="Y54" s="74"/>
      <c r="Z54" s="71" t="str">
        <f t="shared" si="16"/>
        <v/>
      </c>
      <c r="AA54" s="72" t="str">
        <f t="shared" ca="1" si="17"/>
        <v/>
      </c>
    </row>
    <row r="55" spans="1:27" ht="18.75" customHeight="1" x14ac:dyDescent="0.25">
      <c r="A55" s="64" t="str">
        <f t="shared" si="9"/>
        <v/>
      </c>
      <c r="B55" s="65"/>
      <c r="C55" s="66"/>
      <c r="D55" s="65"/>
      <c r="E55" s="67"/>
      <c r="F55" s="67"/>
      <c r="G55" s="64" t="str">
        <f t="shared" si="10"/>
        <v/>
      </c>
      <c r="H55" s="65"/>
      <c r="I55" s="64" t="str">
        <f t="shared" si="11"/>
        <v/>
      </c>
      <c r="J55" s="66"/>
      <c r="K55" s="65"/>
      <c r="L55" s="65"/>
      <c r="M55" s="66"/>
      <c r="N55" s="65"/>
      <c r="O55" s="65"/>
      <c r="P55" s="65"/>
      <c r="Q55" s="68" t="str">
        <f t="shared" si="12"/>
        <v/>
      </c>
      <c r="R55" s="69"/>
      <c r="S55" s="70"/>
      <c r="T55" s="65"/>
      <c r="U55" s="64" t="str">
        <f t="shared" ca="1" si="13"/>
        <v/>
      </c>
      <c r="V55" s="64" t="str">
        <f t="shared" si="14"/>
        <v/>
      </c>
      <c r="W55" s="64" t="str">
        <f t="shared" si="15"/>
        <v/>
      </c>
      <c r="X55" s="64" t="str">
        <f>IF(E55="","",IF(AND(YEAR(E55)=Lịch!$T$2,ROUNDUP(MONTH(E55)/3,0)=Lịch!$W$2),MAX(X$6:X54)+1,""))</f>
        <v/>
      </c>
      <c r="Y55" s="66"/>
      <c r="Z55" s="71" t="str">
        <f t="shared" si="16"/>
        <v/>
      </c>
      <c r="AA55" s="72" t="str">
        <f t="shared" ca="1" si="17"/>
        <v/>
      </c>
    </row>
    <row r="56" spans="1:27" ht="18.75" customHeight="1" x14ac:dyDescent="0.25">
      <c r="A56" s="64" t="str">
        <f t="shared" si="9"/>
        <v/>
      </c>
      <c r="B56" s="73"/>
      <c r="C56" s="74"/>
      <c r="D56" s="73"/>
      <c r="E56" s="75"/>
      <c r="F56" s="75"/>
      <c r="G56" s="64" t="str">
        <f t="shared" si="10"/>
        <v/>
      </c>
      <c r="H56" s="73"/>
      <c r="I56" s="64" t="str">
        <f t="shared" si="11"/>
        <v/>
      </c>
      <c r="J56" s="74"/>
      <c r="K56" s="73"/>
      <c r="L56" s="73"/>
      <c r="M56" s="74"/>
      <c r="N56" s="73"/>
      <c r="O56" s="73"/>
      <c r="P56" s="73"/>
      <c r="Q56" s="68" t="str">
        <f t="shared" si="12"/>
        <v/>
      </c>
      <c r="R56" s="76"/>
      <c r="S56" s="77"/>
      <c r="T56" s="73"/>
      <c r="U56" s="64" t="str">
        <f t="shared" ca="1" si="13"/>
        <v/>
      </c>
      <c r="V56" s="64" t="str">
        <f t="shared" si="14"/>
        <v/>
      </c>
      <c r="W56" s="64" t="str">
        <f t="shared" si="15"/>
        <v/>
      </c>
      <c r="X56" s="64" t="str">
        <f>IF(E56="","",IF(AND(YEAR(E56)=Lịch!$T$2,ROUNDUP(MONTH(E56)/3,0)=Lịch!$W$2),MAX(X$6:X55)+1,""))</f>
        <v/>
      </c>
      <c r="Y56" s="74"/>
      <c r="Z56" s="71" t="str">
        <f t="shared" si="16"/>
        <v/>
      </c>
      <c r="AA56" s="72" t="str">
        <f t="shared" ca="1" si="17"/>
        <v/>
      </c>
    </row>
    <row r="57" spans="1:27" ht="18.75" customHeight="1" x14ac:dyDescent="0.25">
      <c r="A57" s="64" t="str">
        <f t="shared" si="9"/>
        <v/>
      </c>
      <c r="B57" s="65"/>
      <c r="C57" s="66"/>
      <c r="D57" s="65"/>
      <c r="E57" s="67"/>
      <c r="F57" s="67"/>
      <c r="G57" s="64" t="str">
        <f t="shared" si="10"/>
        <v/>
      </c>
      <c r="H57" s="65"/>
      <c r="I57" s="64" t="str">
        <f t="shared" si="11"/>
        <v/>
      </c>
      <c r="J57" s="66"/>
      <c r="K57" s="65"/>
      <c r="L57" s="65"/>
      <c r="M57" s="66"/>
      <c r="N57" s="65"/>
      <c r="O57" s="65"/>
      <c r="P57" s="65"/>
      <c r="Q57" s="68" t="str">
        <f t="shared" si="12"/>
        <v/>
      </c>
      <c r="R57" s="69"/>
      <c r="S57" s="70"/>
      <c r="T57" s="65"/>
      <c r="U57" s="64" t="str">
        <f t="shared" ca="1" si="13"/>
        <v/>
      </c>
      <c r="V57" s="64" t="str">
        <f t="shared" si="14"/>
        <v/>
      </c>
      <c r="W57" s="64" t="str">
        <f t="shared" si="15"/>
        <v/>
      </c>
      <c r="X57" s="64" t="str">
        <f>IF(E57="","",IF(AND(YEAR(E57)=Lịch!$T$2,ROUNDUP(MONTH(E57)/3,0)=Lịch!$W$2),MAX(X$6:X56)+1,""))</f>
        <v/>
      </c>
      <c r="Y57" s="66"/>
      <c r="Z57" s="71" t="str">
        <f t="shared" si="16"/>
        <v/>
      </c>
      <c r="AA57" s="72" t="str">
        <f t="shared" ca="1" si="17"/>
        <v/>
      </c>
    </row>
    <row r="58" spans="1:27" ht="18.75" customHeight="1" x14ac:dyDescent="0.25">
      <c r="A58" s="64" t="str">
        <f t="shared" si="9"/>
        <v/>
      </c>
      <c r="B58" s="73"/>
      <c r="C58" s="74"/>
      <c r="D58" s="73"/>
      <c r="E58" s="75"/>
      <c r="F58" s="75"/>
      <c r="G58" s="64" t="str">
        <f t="shared" si="10"/>
        <v/>
      </c>
      <c r="H58" s="73"/>
      <c r="I58" s="64" t="str">
        <f t="shared" si="11"/>
        <v/>
      </c>
      <c r="J58" s="74"/>
      <c r="K58" s="73"/>
      <c r="L58" s="73"/>
      <c r="M58" s="74"/>
      <c r="N58" s="73"/>
      <c r="O58" s="73"/>
      <c r="P58" s="73"/>
      <c r="Q58" s="68" t="str">
        <f t="shared" si="12"/>
        <v/>
      </c>
      <c r="R58" s="76"/>
      <c r="S58" s="77"/>
      <c r="T58" s="73"/>
      <c r="U58" s="64" t="str">
        <f t="shared" ca="1" si="13"/>
        <v/>
      </c>
      <c r="V58" s="64" t="str">
        <f t="shared" si="14"/>
        <v/>
      </c>
      <c r="W58" s="64" t="str">
        <f t="shared" si="15"/>
        <v/>
      </c>
      <c r="X58" s="64" t="str">
        <f>IF(E58="","",IF(AND(YEAR(E58)=Lịch!$T$2,ROUNDUP(MONTH(E58)/3,0)=Lịch!$W$2),MAX(X$6:X57)+1,""))</f>
        <v/>
      </c>
      <c r="Y58" s="74"/>
      <c r="Z58" s="71" t="str">
        <f t="shared" si="16"/>
        <v/>
      </c>
      <c r="AA58" s="72" t="str">
        <f t="shared" ca="1" si="17"/>
        <v/>
      </c>
    </row>
    <row r="59" spans="1:27" ht="18.75" customHeight="1" x14ac:dyDescent="0.25">
      <c r="A59" s="64" t="str">
        <f t="shared" si="9"/>
        <v/>
      </c>
      <c r="B59" s="65"/>
      <c r="C59" s="66"/>
      <c r="D59" s="65"/>
      <c r="E59" s="67"/>
      <c r="F59" s="67"/>
      <c r="G59" s="64" t="str">
        <f t="shared" si="10"/>
        <v/>
      </c>
      <c r="H59" s="65"/>
      <c r="I59" s="64" t="str">
        <f t="shared" si="11"/>
        <v/>
      </c>
      <c r="J59" s="66"/>
      <c r="K59" s="65"/>
      <c r="L59" s="65"/>
      <c r="M59" s="66"/>
      <c r="N59" s="65"/>
      <c r="O59" s="65"/>
      <c r="P59" s="65"/>
      <c r="Q59" s="68" t="str">
        <f t="shared" si="12"/>
        <v/>
      </c>
      <c r="R59" s="69"/>
      <c r="S59" s="70"/>
      <c r="T59" s="65"/>
      <c r="U59" s="64" t="str">
        <f t="shared" ca="1" si="13"/>
        <v/>
      </c>
      <c r="V59" s="64" t="str">
        <f t="shared" si="14"/>
        <v/>
      </c>
      <c r="W59" s="64" t="str">
        <f t="shared" si="15"/>
        <v/>
      </c>
      <c r="X59" s="64" t="str">
        <f>IF(E59="","",IF(AND(YEAR(E59)=Lịch!$T$2,ROUNDUP(MONTH(E59)/3,0)=Lịch!$W$2),MAX(X$6:X58)+1,""))</f>
        <v/>
      </c>
      <c r="Y59" s="66"/>
      <c r="Z59" s="71" t="str">
        <f t="shared" si="16"/>
        <v/>
      </c>
      <c r="AA59" s="72" t="str">
        <f t="shared" ca="1" si="17"/>
        <v/>
      </c>
    </row>
    <row r="60" spans="1:27" ht="18.75" customHeight="1" x14ac:dyDescent="0.25">
      <c r="A60" s="64" t="str">
        <f t="shared" si="9"/>
        <v/>
      </c>
      <c r="B60" s="73"/>
      <c r="C60" s="74"/>
      <c r="D60" s="73"/>
      <c r="E60" s="75"/>
      <c r="F60" s="75"/>
      <c r="G60" s="64" t="str">
        <f t="shared" si="10"/>
        <v/>
      </c>
      <c r="H60" s="73"/>
      <c r="I60" s="64" t="str">
        <f t="shared" si="11"/>
        <v/>
      </c>
      <c r="J60" s="74"/>
      <c r="K60" s="73"/>
      <c r="L60" s="73"/>
      <c r="M60" s="74"/>
      <c r="N60" s="73"/>
      <c r="O60" s="73"/>
      <c r="P60" s="73"/>
      <c r="Q60" s="68" t="str">
        <f t="shared" si="12"/>
        <v/>
      </c>
      <c r="R60" s="76"/>
      <c r="S60" s="77"/>
      <c r="T60" s="73"/>
      <c r="U60" s="64" t="str">
        <f t="shared" ca="1" si="13"/>
        <v/>
      </c>
      <c r="V60" s="64" t="str">
        <f t="shared" si="14"/>
        <v/>
      </c>
      <c r="W60" s="64" t="str">
        <f t="shared" si="15"/>
        <v/>
      </c>
      <c r="X60" s="64" t="str">
        <f>IF(E60="","",IF(AND(YEAR(E60)=Lịch!$T$2,ROUNDUP(MONTH(E60)/3,0)=Lịch!$W$2),MAX(X$6:X59)+1,""))</f>
        <v/>
      </c>
      <c r="Y60" s="74"/>
      <c r="Z60" s="71" t="str">
        <f t="shared" si="16"/>
        <v/>
      </c>
      <c r="AA60" s="72" t="str">
        <f t="shared" ca="1" si="17"/>
        <v/>
      </c>
    </row>
    <row r="61" spans="1:27" ht="18.75" customHeight="1" x14ac:dyDescent="0.25">
      <c r="A61" s="64" t="str">
        <f t="shared" si="9"/>
        <v/>
      </c>
      <c r="B61" s="65"/>
      <c r="C61" s="66"/>
      <c r="D61" s="65"/>
      <c r="E61" s="67"/>
      <c r="F61" s="67"/>
      <c r="G61" s="64" t="str">
        <f t="shared" si="10"/>
        <v/>
      </c>
      <c r="H61" s="65"/>
      <c r="I61" s="64" t="str">
        <f t="shared" si="11"/>
        <v/>
      </c>
      <c r="J61" s="66"/>
      <c r="K61" s="65"/>
      <c r="L61" s="65"/>
      <c r="M61" s="66"/>
      <c r="N61" s="65"/>
      <c r="O61" s="65"/>
      <c r="P61" s="65"/>
      <c r="Q61" s="68" t="str">
        <f t="shared" si="12"/>
        <v/>
      </c>
      <c r="R61" s="69"/>
      <c r="S61" s="70"/>
      <c r="T61" s="65"/>
      <c r="U61" s="64" t="str">
        <f t="shared" ca="1" si="13"/>
        <v/>
      </c>
      <c r="V61" s="64" t="str">
        <f t="shared" si="14"/>
        <v/>
      </c>
      <c r="W61" s="64" t="str">
        <f t="shared" si="15"/>
        <v/>
      </c>
      <c r="X61" s="64" t="str">
        <f>IF(E61="","",IF(AND(YEAR(E61)=Lịch!$T$2,ROUNDUP(MONTH(E61)/3,0)=Lịch!$W$2),MAX(X$6:X60)+1,""))</f>
        <v/>
      </c>
      <c r="Y61" s="66"/>
      <c r="Z61" s="71" t="str">
        <f t="shared" si="16"/>
        <v/>
      </c>
      <c r="AA61" s="72" t="str">
        <f t="shared" ca="1" si="17"/>
        <v/>
      </c>
    </row>
    <row r="62" spans="1:27" ht="18.75" customHeight="1" x14ac:dyDescent="0.25">
      <c r="A62" s="64" t="str">
        <f t="shared" si="9"/>
        <v/>
      </c>
      <c r="B62" s="73"/>
      <c r="C62" s="74"/>
      <c r="D62" s="73"/>
      <c r="E62" s="75"/>
      <c r="F62" s="75"/>
      <c r="G62" s="64" t="str">
        <f t="shared" si="10"/>
        <v/>
      </c>
      <c r="H62" s="73"/>
      <c r="I62" s="64" t="str">
        <f t="shared" si="11"/>
        <v/>
      </c>
      <c r="J62" s="74"/>
      <c r="K62" s="73"/>
      <c r="L62" s="73"/>
      <c r="M62" s="74"/>
      <c r="N62" s="73"/>
      <c r="O62" s="73"/>
      <c r="P62" s="73"/>
      <c r="Q62" s="68" t="str">
        <f t="shared" si="12"/>
        <v/>
      </c>
      <c r="R62" s="76"/>
      <c r="S62" s="77"/>
      <c r="T62" s="73"/>
      <c r="U62" s="64" t="str">
        <f t="shared" ca="1" si="13"/>
        <v/>
      </c>
      <c r="V62" s="64" t="str">
        <f t="shared" si="14"/>
        <v/>
      </c>
      <c r="W62" s="64" t="str">
        <f t="shared" si="15"/>
        <v/>
      </c>
      <c r="X62" s="64" t="str">
        <f>IF(E62="","",IF(AND(YEAR(E62)=Lịch!$T$2,ROUNDUP(MONTH(E62)/3,0)=Lịch!$W$2),MAX(X$6:X61)+1,""))</f>
        <v/>
      </c>
      <c r="Y62" s="74"/>
      <c r="Z62" s="71" t="str">
        <f t="shared" si="16"/>
        <v/>
      </c>
      <c r="AA62" s="72" t="str">
        <f t="shared" ca="1" si="17"/>
        <v/>
      </c>
    </row>
    <row r="63" spans="1:27" ht="18.75" customHeight="1" x14ac:dyDescent="0.25">
      <c r="A63" s="64" t="str">
        <f t="shared" si="9"/>
        <v/>
      </c>
      <c r="B63" s="65"/>
      <c r="C63" s="66"/>
      <c r="D63" s="65"/>
      <c r="E63" s="67"/>
      <c r="F63" s="67"/>
      <c r="G63" s="64" t="str">
        <f t="shared" si="10"/>
        <v/>
      </c>
      <c r="H63" s="65"/>
      <c r="I63" s="64" t="str">
        <f t="shared" si="11"/>
        <v/>
      </c>
      <c r="J63" s="66"/>
      <c r="K63" s="65"/>
      <c r="L63" s="65"/>
      <c r="M63" s="66"/>
      <c r="N63" s="65"/>
      <c r="O63" s="65"/>
      <c r="P63" s="65"/>
      <c r="Q63" s="68" t="str">
        <f t="shared" si="12"/>
        <v/>
      </c>
      <c r="R63" s="69"/>
      <c r="S63" s="70"/>
      <c r="T63" s="65"/>
      <c r="U63" s="64" t="str">
        <f t="shared" ca="1" si="13"/>
        <v/>
      </c>
      <c r="V63" s="64" t="str">
        <f t="shared" si="14"/>
        <v/>
      </c>
      <c r="W63" s="64" t="str">
        <f t="shared" si="15"/>
        <v/>
      </c>
      <c r="X63" s="64" t="str">
        <f>IF(E63="","",IF(AND(YEAR(E63)=Lịch!$T$2,ROUNDUP(MONTH(E63)/3,0)=Lịch!$W$2),MAX(X$6:X62)+1,""))</f>
        <v/>
      </c>
      <c r="Y63" s="66"/>
      <c r="Z63" s="71" t="str">
        <f t="shared" si="16"/>
        <v/>
      </c>
      <c r="AA63" s="72" t="str">
        <f t="shared" ca="1" si="17"/>
        <v/>
      </c>
    </row>
    <row r="64" spans="1:27" ht="18.75" customHeight="1" x14ac:dyDescent="0.25">
      <c r="A64" s="64" t="str">
        <f t="shared" si="9"/>
        <v/>
      </c>
      <c r="B64" s="73"/>
      <c r="C64" s="74"/>
      <c r="D64" s="73"/>
      <c r="E64" s="75"/>
      <c r="F64" s="75"/>
      <c r="G64" s="64" t="str">
        <f t="shared" si="10"/>
        <v/>
      </c>
      <c r="H64" s="73"/>
      <c r="I64" s="64" t="str">
        <f t="shared" si="11"/>
        <v/>
      </c>
      <c r="J64" s="74"/>
      <c r="K64" s="73"/>
      <c r="L64" s="73"/>
      <c r="M64" s="74"/>
      <c r="N64" s="73"/>
      <c r="O64" s="73"/>
      <c r="P64" s="73"/>
      <c r="Q64" s="68" t="str">
        <f t="shared" si="12"/>
        <v/>
      </c>
      <c r="R64" s="76"/>
      <c r="S64" s="77"/>
      <c r="T64" s="73"/>
      <c r="U64" s="64" t="str">
        <f t="shared" ca="1" si="13"/>
        <v/>
      </c>
      <c r="V64" s="64" t="str">
        <f t="shared" si="14"/>
        <v/>
      </c>
      <c r="W64" s="64" t="str">
        <f t="shared" si="15"/>
        <v/>
      </c>
      <c r="X64" s="64" t="str">
        <f>IF(E64="","",IF(AND(YEAR(E64)=Lịch!$T$2,ROUNDUP(MONTH(E64)/3,0)=Lịch!$W$2),MAX(X$6:X63)+1,""))</f>
        <v/>
      </c>
      <c r="Y64" s="74"/>
      <c r="Z64" s="71" t="str">
        <f t="shared" si="16"/>
        <v/>
      </c>
      <c r="AA64" s="72" t="str">
        <f t="shared" ca="1" si="17"/>
        <v/>
      </c>
    </row>
    <row r="65" spans="1:27" ht="18.75" customHeight="1" x14ac:dyDescent="0.25">
      <c r="A65" s="64" t="str">
        <f t="shared" si="9"/>
        <v/>
      </c>
      <c r="B65" s="65"/>
      <c r="C65" s="66"/>
      <c r="D65" s="65"/>
      <c r="E65" s="67"/>
      <c r="F65" s="67"/>
      <c r="G65" s="64" t="str">
        <f t="shared" si="10"/>
        <v/>
      </c>
      <c r="H65" s="65"/>
      <c r="I65" s="64" t="str">
        <f t="shared" si="11"/>
        <v/>
      </c>
      <c r="J65" s="66"/>
      <c r="K65" s="65"/>
      <c r="L65" s="65"/>
      <c r="M65" s="66"/>
      <c r="N65" s="65"/>
      <c r="O65" s="65"/>
      <c r="P65" s="65"/>
      <c r="Q65" s="68" t="str">
        <f t="shared" si="12"/>
        <v/>
      </c>
      <c r="R65" s="69"/>
      <c r="S65" s="70"/>
      <c r="T65" s="65"/>
      <c r="U65" s="64" t="str">
        <f t="shared" ca="1" si="13"/>
        <v/>
      </c>
      <c r="V65" s="64" t="str">
        <f t="shared" si="14"/>
        <v/>
      </c>
      <c r="W65" s="64" t="str">
        <f t="shared" si="15"/>
        <v/>
      </c>
      <c r="X65" s="64" t="str">
        <f>IF(E65="","",IF(AND(YEAR(E65)=Lịch!$T$2,ROUNDUP(MONTH(E65)/3,0)=Lịch!$W$2),MAX(X$6:X64)+1,""))</f>
        <v/>
      </c>
      <c r="Y65" s="66"/>
      <c r="Z65" s="71" t="str">
        <f t="shared" si="16"/>
        <v/>
      </c>
      <c r="AA65" s="72" t="str">
        <f t="shared" ca="1" si="17"/>
        <v/>
      </c>
    </row>
    <row r="66" spans="1:27" ht="18.75" customHeight="1" x14ac:dyDescent="0.25">
      <c r="A66" s="64" t="str">
        <f t="shared" si="9"/>
        <v/>
      </c>
      <c r="B66" s="73"/>
      <c r="C66" s="74"/>
      <c r="D66" s="73"/>
      <c r="E66" s="75"/>
      <c r="F66" s="75"/>
      <c r="G66" s="64" t="str">
        <f t="shared" si="10"/>
        <v/>
      </c>
      <c r="H66" s="73"/>
      <c r="I66" s="64" t="str">
        <f t="shared" si="11"/>
        <v/>
      </c>
      <c r="J66" s="74"/>
      <c r="K66" s="73"/>
      <c r="L66" s="73"/>
      <c r="M66" s="74"/>
      <c r="N66" s="73"/>
      <c r="O66" s="73"/>
      <c r="P66" s="73"/>
      <c r="Q66" s="68" t="str">
        <f t="shared" si="12"/>
        <v/>
      </c>
      <c r="R66" s="76"/>
      <c r="S66" s="77"/>
      <c r="T66" s="73"/>
      <c r="U66" s="64" t="str">
        <f t="shared" ca="1" si="13"/>
        <v/>
      </c>
      <c r="V66" s="64" t="str">
        <f t="shared" si="14"/>
        <v/>
      </c>
      <c r="W66" s="64" t="str">
        <f t="shared" si="15"/>
        <v/>
      </c>
      <c r="X66" s="64" t="str">
        <f>IF(E66="","",IF(AND(YEAR(E66)=Lịch!$T$2,ROUNDUP(MONTH(E66)/3,0)=Lịch!$W$2),MAX(X$6:X65)+1,""))</f>
        <v/>
      </c>
      <c r="Y66" s="74"/>
      <c r="Z66" s="71" t="str">
        <f t="shared" si="16"/>
        <v/>
      </c>
      <c r="AA66" s="72" t="str">
        <f t="shared" ca="1" si="17"/>
        <v/>
      </c>
    </row>
    <row r="67" spans="1:27" ht="18.75" customHeight="1" x14ac:dyDescent="0.25">
      <c r="A67" s="64" t="str">
        <f t="shared" si="9"/>
        <v/>
      </c>
      <c r="B67" s="65"/>
      <c r="C67" s="66"/>
      <c r="D67" s="65"/>
      <c r="E67" s="67"/>
      <c r="F67" s="67"/>
      <c r="G67" s="64" t="str">
        <f t="shared" si="10"/>
        <v/>
      </c>
      <c r="H67" s="65"/>
      <c r="I67" s="64" t="str">
        <f t="shared" si="11"/>
        <v/>
      </c>
      <c r="J67" s="66"/>
      <c r="K67" s="65"/>
      <c r="L67" s="65"/>
      <c r="M67" s="66"/>
      <c r="N67" s="65"/>
      <c r="O67" s="65"/>
      <c r="P67" s="65"/>
      <c r="Q67" s="68" t="str">
        <f t="shared" si="12"/>
        <v/>
      </c>
      <c r="R67" s="69"/>
      <c r="S67" s="70"/>
      <c r="T67" s="65"/>
      <c r="U67" s="64" t="str">
        <f t="shared" ca="1" si="13"/>
        <v/>
      </c>
      <c r="V67" s="64" t="str">
        <f t="shared" si="14"/>
        <v/>
      </c>
      <c r="W67" s="64" t="str">
        <f t="shared" si="15"/>
        <v/>
      </c>
      <c r="X67" s="64" t="str">
        <f>IF(E67="","",IF(AND(YEAR(E67)=Lịch!$T$2,ROUNDUP(MONTH(E67)/3,0)=Lịch!$W$2),MAX(X$6:X66)+1,""))</f>
        <v/>
      </c>
      <c r="Y67" s="66"/>
      <c r="Z67" s="71" t="str">
        <f t="shared" si="16"/>
        <v/>
      </c>
      <c r="AA67" s="72" t="str">
        <f t="shared" ca="1" si="17"/>
        <v/>
      </c>
    </row>
    <row r="68" spans="1:27" ht="18.75" customHeight="1" x14ac:dyDescent="0.25">
      <c r="A68" s="64" t="str">
        <f t="shared" si="9"/>
        <v/>
      </c>
      <c r="B68" s="73"/>
      <c r="C68" s="74"/>
      <c r="D68" s="73"/>
      <c r="E68" s="75"/>
      <c r="F68" s="75"/>
      <c r="G68" s="64" t="str">
        <f t="shared" si="10"/>
        <v/>
      </c>
      <c r="H68" s="73"/>
      <c r="I68" s="64" t="str">
        <f t="shared" si="11"/>
        <v/>
      </c>
      <c r="J68" s="74"/>
      <c r="K68" s="73"/>
      <c r="L68" s="73"/>
      <c r="M68" s="74"/>
      <c r="N68" s="73"/>
      <c r="O68" s="73"/>
      <c r="P68" s="73"/>
      <c r="Q68" s="68" t="str">
        <f t="shared" si="12"/>
        <v/>
      </c>
      <c r="R68" s="76"/>
      <c r="S68" s="77"/>
      <c r="T68" s="73"/>
      <c r="U68" s="64" t="str">
        <f t="shared" ca="1" si="13"/>
        <v/>
      </c>
      <c r="V68" s="64" t="str">
        <f t="shared" si="14"/>
        <v/>
      </c>
      <c r="W68" s="64" t="str">
        <f t="shared" si="15"/>
        <v/>
      </c>
      <c r="X68" s="64" t="str">
        <f>IF(E68="","",IF(AND(YEAR(E68)=Lịch!$T$2,ROUNDUP(MONTH(E68)/3,0)=Lịch!$W$2),MAX(X$6:X67)+1,""))</f>
        <v/>
      </c>
      <c r="Y68" s="74"/>
      <c r="Z68" s="71" t="str">
        <f t="shared" si="16"/>
        <v/>
      </c>
      <c r="AA68" s="72" t="str">
        <f t="shared" ca="1" si="17"/>
        <v/>
      </c>
    </row>
    <row r="69" spans="1:27" ht="18.75" customHeight="1" x14ac:dyDescent="0.25">
      <c r="A69" s="64" t="str">
        <f t="shared" si="9"/>
        <v/>
      </c>
      <c r="B69" s="65"/>
      <c r="C69" s="66"/>
      <c r="D69" s="65"/>
      <c r="E69" s="67"/>
      <c r="F69" s="67"/>
      <c r="G69" s="64" t="str">
        <f t="shared" si="10"/>
        <v/>
      </c>
      <c r="H69" s="65"/>
      <c r="I69" s="64" t="str">
        <f t="shared" si="11"/>
        <v/>
      </c>
      <c r="J69" s="66"/>
      <c r="K69" s="65"/>
      <c r="L69" s="65"/>
      <c r="M69" s="66"/>
      <c r="N69" s="65"/>
      <c r="O69" s="65"/>
      <c r="P69" s="65"/>
      <c r="Q69" s="68" t="str">
        <f t="shared" si="12"/>
        <v/>
      </c>
      <c r="R69" s="69"/>
      <c r="S69" s="70"/>
      <c r="T69" s="65"/>
      <c r="U69" s="64" t="str">
        <f t="shared" ca="1" si="13"/>
        <v/>
      </c>
      <c r="V69" s="64" t="str">
        <f t="shared" si="14"/>
        <v/>
      </c>
      <c r="W69" s="64" t="str">
        <f t="shared" si="15"/>
        <v/>
      </c>
      <c r="X69" s="64" t="str">
        <f>IF(E69="","",IF(AND(YEAR(E69)=Lịch!$T$2,ROUNDUP(MONTH(E69)/3,0)=Lịch!$W$2),MAX(X$6:X68)+1,""))</f>
        <v/>
      </c>
      <c r="Y69" s="66"/>
      <c r="Z69" s="71" t="str">
        <f t="shared" si="16"/>
        <v/>
      </c>
      <c r="AA69" s="72" t="str">
        <f t="shared" ca="1" si="17"/>
        <v/>
      </c>
    </row>
    <row r="70" spans="1:27" ht="18.75" customHeight="1" x14ac:dyDescent="0.25">
      <c r="A70" s="64" t="str">
        <f t="shared" si="9"/>
        <v/>
      </c>
      <c r="B70" s="73"/>
      <c r="C70" s="74"/>
      <c r="D70" s="73"/>
      <c r="E70" s="75"/>
      <c r="F70" s="75"/>
      <c r="G70" s="64" t="str">
        <f t="shared" si="10"/>
        <v/>
      </c>
      <c r="H70" s="73"/>
      <c r="I70" s="64" t="str">
        <f t="shared" si="11"/>
        <v/>
      </c>
      <c r="J70" s="74"/>
      <c r="K70" s="73"/>
      <c r="L70" s="73"/>
      <c r="M70" s="74"/>
      <c r="N70" s="73"/>
      <c r="O70" s="73"/>
      <c r="P70" s="73"/>
      <c r="Q70" s="68" t="str">
        <f t="shared" si="12"/>
        <v/>
      </c>
      <c r="R70" s="76"/>
      <c r="S70" s="77"/>
      <c r="T70" s="73"/>
      <c r="U70" s="64" t="str">
        <f t="shared" ca="1" si="13"/>
        <v/>
      </c>
      <c r="V70" s="64" t="str">
        <f t="shared" si="14"/>
        <v/>
      </c>
      <c r="W70" s="64" t="str">
        <f t="shared" si="15"/>
        <v/>
      </c>
      <c r="X70" s="64" t="str">
        <f>IF(E70="","",IF(AND(YEAR(E70)=Lịch!$T$2,ROUNDUP(MONTH(E70)/3,0)=Lịch!$W$2),MAX(X$6:X69)+1,""))</f>
        <v/>
      </c>
      <c r="Y70" s="74"/>
      <c r="Z70" s="71" t="str">
        <f t="shared" si="16"/>
        <v/>
      </c>
      <c r="AA70" s="72" t="str">
        <f t="shared" ca="1" si="17"/>
        <v/>
      </c>
    </row>
    <row r="71" spans="1:27" ht="18.75" customHeight="1" x14ac:dyDescent="0.25">
      <c r="A71" s="64" t="str">
        <f t="shared" ref="A71:A102" si="18">IF(C71="","",ROW()-6)</f>
        <v/>
      </c>
      <c r="B71" s="65"/>
      <c r="C71" s="66"/>
      <c r="D71" s="65"/>
      <c r="E71" s="67"/>
      <c r="F71" s="67"/>
      <c r="G71" s="64" t="str">
        <f t="shared" ref="G71:G102" si="19">IF(OR(E71="",F71=""),"",NETWORKDAYS(E71,F71))</f>
        <v/>
      </c>
      <c r="H71" s="65"/>
      <c r="I71" s="64" t="str">
        <f t="shared" ref="I71:I102" si="20">IF(OR(G71="",H71=""),"",G71*H71)</f>
        <v/>
      </c>
      <c r="J71" s="66"/>
      <c r="K71" s="65"/>
      <c r="L71" s="65"/>
      <c r="M71" s="66"/>
      <c r="N71" s="65"/>
      <c r="O71" s="65"/>
      <c r="P71" s="65"/>
      <c r="Q71" s="68" t="str">
        <f t="shared" ref="Q71:Q102" si="21">IF(OR(O71="",O71=0,P71=""),"",P71/O71)</f>
        <v/>
      </c>
      <c r="R71" s="69"/>
      <c r="S71" s="70"/>
      <c r="T71" s="65"/>
      <c r="U71" s="64" t="str">
        <f t="shared" ref="U71:U102" ca="1" si="22">IF(C71="","",IF(T71&lt;&gt;"",T71,IF(E71="","Chưa xếp lịch",IF(TODAY()&lt;E71,"Sắp diễn ra",IF(TODAY()&gt;F71,"Đã hoàn thành","Đang diễn ra")))))</f>
        <v/>
      </c>
      <c r="V71" s="64" t="str">
        <f t="shared" ref="V71:V102" si="23">IF(E71="","","Q"&amp;ROUNDUP(MONTH(E71)/3,0))</f>
        <v/>
      </c>
      <c r="W71" s="64" t="str">
        <f t="shared" ref="W71:W102" si="24">IF(E71="","",YEAR(E71))</f>
        <v/>
      </c>
      <c r="X71" s="64" t="str">
        <f>IF(E71="","",IF(AND(YEAR(E71)=Lịch!$T$2,ROUNDUP(MONTH(E71)/3,0)=Lịch!$W$2),MAX(X$6:X70)+1,""))</f>
        <v/>
      </c>
      <c r="Y71" s="66"/>
      <c r="Z71" s="71" t="str">
        <f t="shared" ref="Z71:Z102" si="25">IF(OR(I71="",P71=""),"",I71*P71)</f>
        <v/>
      </c>
      <c r="AA71" s="72" t="str">
        <f t="shared" ref="AA71:AA102" ca="1" si="26">IF(AND(C71&lt;&gt;"",T71="",E71&lt;&gt;"",F71&gt;=TODAY()),E71+ROW()/100000,"")</f>
        <v/>
      </c>
    </row>
    <row r="72" spans="1:27" ht="18.75" customHeight="1" x14ac:dyDescent="0.25">
      <c r="A72" s="64" t="str">
        <f t="shared" si="18"/>
        <v/>
      </c>
      <c r="B72" s="73"/>
      <c r="C72" s="74"/>
      <c r="D72" s="73"/>
      <c r="E72" s="75"/>
      <c r="F72" s="75"/>
      <c r="G72" s="64" t="str">
        <f t="shared" si="19"/>
        <v/>
      </c>
      <c r="H72" s="73"/>
      <c r="I72" s="64" t="str">
        <f t="shared" si="20"/>
        <v/>
      </c>
      <c r="J72" s="74"/>
      <c r="K72" s="73"/>
      <c r="L72" s="73"/>
      <c r="M72" s="74"/>
      <c r="N72" s="73"/>
      <c r="O72" s="73"/>
      <c r="P72" s="73"/>
      <c r="Q72" s="68" t="str">
        <f t="shared" si="21"/>
        <v/>
      </c>
      <c r="R72" s="76"/>
      <c r="S72" s="77"/>
      <c r="T72" s="73"/>
      <c r="U72" s="64" t="str">
        <f t="shared" ca="1" si="22"/>
        <v/>
      </c>
      <c r="V72" s="64" t="str">
        <f t="shared" si="23"/>
        <v/>
      </c>
      <c r="W72" s="64" t="str">
        <f t="shared" si="24"/>
        <v/>
      </c>
      <c r="X72" s="64" t="str">
        <f>IF(E72="","",IF(AND(YEAR(E72)=Lịch!$T$2,ROUNDUP(MONTH(E72)/3,0)=Lịch!$W$2),MAX(X$6:X71)+1,""))</f>
        <v/>
      </c>
      <c r="Y72" s="74"/>
      <c r="Z72" s="71" t="str">
        <f t="shared" si="25"/>
        <v/>
      </c>
      <c r="AA72" s="72" t="str">
        <f t="shared" ca="1" si="26"/>
        <v/>
      </c>
    </row>
    <row r="73" spans="1:27" ht="18.75" customHeight="1" x14ac:dyDescent="0.25">
      <c r="A73" s="64" t="str">
        <f t="shared" si="18"/>
        <v/>
      </c>
      <c r="B73" s="65"/>
      <c r="C73" s="66"/>
      <c r="D73" s="65"/>
      <c r="E73" s="67"/>
      <c r="F73" s="67"/>
      <c r="G73" s="64" t="str">
        <f t="shared" si="19"/>
        <v/>
      </c>
      <c r="H73" s="65"/>
      <c r="I73" s="64" t="str">
        <f t="shared" si="20"/>
        <v/>
      </c>
      <c r="J73" s="66"/>
      <c r="K73" s="65"/>
      <c r="L73" s="65"/>
      <c r="M73" s="66"/>
      <c r="N73" s="65"/>
      <c r="O73" s="65"/>
      <c r="P73" s="65"/>
      <c r="Q73" s="68" t="str">
        <f t="shared" si="21"/>
        <v/>
      </c>
      <c r="R73" s="69"/>
      <c r="S73" s="70"/>
      <c r="T73" s="65"/>
      <c r="U73" s="64" t="str">
        <f t="shared" ca="1" si="22"/>
        <v/>
      </c>
      <c r="V73" s="64" t="str">
        <f t="shared" si="23"/>
        <v/>
      </c>
      <c r="W73" s="64" t="str">
        <f t="shared" si="24"/>
        <v/>
      </c>
      <c r="X73" s="64" t="str">
        <f>IF(E73="","",IF(AND(YEAR(E73)=Lịch!$T$2,ROUNDUP(MONTH(E73)/3,0)=Lịch!$W$2),MAX(X$6:X72)+1,""))</f>
        <v/>
      </c>
      <c r="Y73" s="66"/>
      <c r="Z73" s="71" t="str">
        <f t="shared" si="25"/>
        <v/>
      </c>
      <c r="AA73" s="72" t="str">
        <f t="shared" ca="1" si="26"/>
        <v/>
      </c>
    </row>
    <row r="74" spans="1:27" ht="18.75" customHeight="1" x14ac:dyDescent="0.25">
      <c r="A74" s="64" t="str">
        <f t="shared" si="18"/>
        <v/>
      </c>
      <c r="B74" s="73"/>
      <c r="C74" s="74"/>
      <c r="D74" s="73"/>
      <c r="E74" s="75"/>
      <c r="F74" s="75"/>
      <c r="G74" s="64" t="str">
        <f t="shared" si="19"/>
        <v/>
      </c>
      <c r="H74" s="73"/>
      <c r="I74" s="64" t="str">
        <f t="shared" si="20"/>
        <v/>
      </c>
      <c r="J74" s="74"/>
      <c r="K74" s="73"/>
      <c r="L74" s="73"/>
      <c r="M74" s="74"/>
      <c r="N74" s="73"/>
      <c r="O74" s="73"/>
      <c r="P74" s="73"/>
      <c r="Q74" s="68" t="str">
        <f t="shared" si="21"/>
        <v/>
      </c>
      <c r="R74" s="76"/>
      <c r="S74" s="77"/>
      <c r="T74" s="73"/>
      <c r="U74" s="64" t="str">
        <f t="shared" ca="1" si="22"/>
        <v/>
      </c>
      <c r="V74" s="64" t="str">
        <f t="shared" si="23"/>
        <v/>
      </c>
      <c r="W74" s="64" t="str">
        <f t="shared" si="24"/>
        <v/>
      </c>
      <c r="X74" s="64" t="str">
        <f>IF(E74="","",IF(AND(YEAR(E74)=Lịch!$T$2,ROUNDUP(MONTH(E74)/3,0)=Lịch!$W$2),MAX(X$6:X73)+1,""))</f>
        <v/>
      </c>
      <c r="Y74" s="74"/>
      <c r="Z74" s="71" t="str">
        <f t="shared" si="25"/>
        <v/>
      </c>
      <c r="AA74" s="72" t="str">
        <f t="shared" ca="1" si="26"/>
        <v/>
      </c>
    </row>
    <row r="75" spans="1:27" ht="18.75" customHeight="1" x14ac:dyDescent="0.25">
      <c r="A75" s="64" t="str">
        <f t="shared" si="18"/>
        <v/>
      </c>
      <c r="B75" s="65"/>
      <c r="C75" s="66"/>
      <c r="D75" s="65"/>
      <c r="E75" s="67"/>
      <c r="F75" s="67"/>
      <c r="G75" s="64" t="str">
        <f t="shared" si="19"/>
        <v/>
      </c>
      <c r="H75" s="65"/>
      <c r="I75" s="64" t="str">
        <f t="shared" si="20"/>
        <v/>
      </c>
      <c r="J75" s="66"/>
      <c r="K75" s="65"/>
      <c r="L75" s="65"/>
      <c r="M75" s="66"/>
      <c r="N75" s="65"/>
      <c r="O75" s="65"/>
      <c r="P75" s="65"/>
      <c r="Q75" s="68" t="str">
        <f t="shared" si="21"/>
        <v/>
      </c>
      <c r="R75" s="69"/>
      <c r="S75" s="70"/>
      <c r="T75" s="65"/>
      <c r="U75" s="64" t="str">
        <f t="shared" ca="1" si="22"/>
        <v/>
      </c>
      <c r="V75" s="64" t="str">
        <f t="shared" si="23"/>
        <v/>
      </c>
      <c r="W75" s="64" t="str">
        <f t="shared" si="24"/>
        <v/>
      </c>
      <c r="X75" s="64" t="str">
        <f>IF(E75="","",IF(AND(YEAR(E75)=Lịch!$T$2,ROUNDUP(MONTH(E75)/3,0)=Lịch!$W$2),MAX(X$6:X74)+1,""))</f>
        <v/>
      </c>
      <c r="Y75" s="66"/>
      <c r="Z75" s="71" t="str">
        <f t="shared" si="25"/>
        <v/>
      </c>
      <c r="AA75" s="72" t="str">
        <f t="shared" ca="1" si="26"/>
        <v/>
      </c>
    </row>
    <row r="76" spans="1:27" ht="18.75" customHeight="1" x14ac:dyDescent="0.25">
      <c r="A76" s="64" t="str">
        <f t="shared" si="18"/>
        <v/>
      </c>
      <c r="B76" s="73"/>
      <c r="C76" s="74"/>
      <c r="D76" s="73"/>
      <c r="E76" s="75"/>
      <c r="F76" s="75"/>
      <c r="G76" s="64" t="str">
        <f t="shared" si="19"/>
        <v/>
      </c>
      <c r="H76" s="73"/>
      <c r="I76" s="64" t="str">
        <f t="shared" si="20"/>
        <v/>
      </c>
      <c r="J76" s="74"/>
      <c r="K76" s="73"/>
      <c r="L76" s="73"/>
      <c r="M76" s="74"/>
      <c r="N76" s="73"/>
      <c r="O76" s="73"/>
      <c r="P76" s="73"/>
      <c r="Q76" s="68" t="str">
        <f t="shared" si="21"/>
        <v/>
      </c>
      <c r="R76" s="76"/>
      <c r="S76" s="77"/>
      <c r="T76" s="73"/>
      <c r="U76" s="64" t="str">
        <f t="shared" ca="1" si="22"/>
        <v/>
      </c>
      <c r="V76" s="64" t="str">
        <f t="shared" si="23"/>
        <v/>
      </c>
      <c r="W76" s="64" t="str">
        <f t="shared" si="24"/>
        <v/>
      </c>
      <c r="X76" s="64" t="str">
        <f>IF(E76="","",IF(AND(YEAR(E76)=Lịch!$T$2,ROUNDUP(MONTH(E76)/3,0)=Lịch!$W$2),MAX(X$6:X75)+1,""))</f>
        <v/>
      </c>
      <c r="Y76" s="74"/>
      <c r="Z76" s="71" t="str">
        <f t="shared" si="25"/>
        <v/>
      </c>
      <c r="AA76" s="72" t="str">
        <f t="shared" ca="1" si="26"/>
        <v/>
      </c>
    </row>
    <row r="77" spans="1:27" ht="18.75" customHeight="1" x14ac:dyDescent="0.25">
      <c r="A77" s="64" t="str">
        <f t="shared" si="18"/>
        <v/>
      </c>
      <c r="B77" s="65"/>
      <c r="C77" s="66"/>
      <c r="D77" s="65"/>
      <c r="E77" s="67"/>
      <c r="F77" s="67"/>
      <c r="G77" s="64" t="str">
        <f t="shared" si="19"/>
        <v/>
      </c>
      <c r="H77" s="65"/>
      <c r="I77" s="64" t="str">
        <f t="shared" si="20"/>
        <v/>
      </c>
      <c r="J77" s="66"/>
      <c r="K77" s="65"/>
      <c r="L77" s="65"/>
      <c r="M77" s="66"/>
      <c r="N77" s="65"/>
      <c r="O77" s="65"/>
      <c r="P77" s="65"/>
      <c r="Q77" s="68" t="str">
        <f t="shared" si="21"/>
        <v/>
      </c>
      <c r="R77" s="69"/>
      <c r="S77" s="70"/>
      <c r="T77" s="65"/>
      <c r="U77" s="64" t="str">
        <f t="shared" ca="1" si="22"/>
        <v/>
      </c>
      <c r="V77" s="64" t="str">
        <f t="shared" si="23"/>
        <v/>
      </c>
      <c r="W77" s="64" t="str">
        <f t="shared" si="24"/>
        <v/>
      </c>
      <c r="X77" s="64" t="str">
        <f>IF(E77="","",IF(AND(YEAR(E77)=Lịch!$T$2,ROUNDUP(MONTH(E77)/3,0)=Lịch!$W$2),MAX(X$6:X76)+1,""))</f>
        <v/>
      </c>
      <c r="Y77" s="66"/>
      <c r="Z77" s="71" t="str">
        <f t="shared" si="25"/>
        <v/>
      </c>
      <c r="AA77" s="72" t="str">
        <f t="shared" ca="1" si="26"/>
        <v/>
      </c>
    </row>
    <row r="78" spans="1:27" ht="18.75" customHeight="1" x14ac:dyDescent="0.25">
      <c r="A78" s="64" t="str">
        <f t="shared" si="18"/>
        <v/>
      </c>
      <c r="B78" s="73"/>
      <c r="C78" s="74"/>
      <c r="D78" s="73"/>
      <c r="E78" s="75"/>
      <c r="F78" s="75"/>
      <c r="G78" s="64" t="str">
        <f t="shared" si="19"/>
        <v/>
      </c>
      <c r="H78" s="73"/>
      <c r="I78" s="64" t="str">
        <f t="shared" si="20"/>
        <v/>
      </c>
      <c r="J78" s="74"/>
      <c r="K78" s="73"/>
      <c r="L78" s="73"/>
      <c r="M78" s="74"/>
      <c r="N78" s="73"/>
      <c r="O78" s="73"/>
      <c r="P78" s="73"/>
      <c r="Q78" s="68" t="str">
        <f t="shared" si="21"/>
        <v/>
      </c>
      <c r="R78" s="76"/>
      <c r="S78" s="77"/>
      <c r="T78" s="73"/>
      <c r="U78" s="64" t="str">
        <f t="shared" ca="1" si="22"/>
        <v/>
      </c>
      <c r="V78" s="64" t="str">
        <f t="shared" si="23"/>
        <v/>
      </c>
      <c r="W78" s="64" t="str">
        <f t="shared" si="24"/>
        <v/>
      </c>
      <c r="X78" s="64" t="str">
        <f>IF(E78="","",IF(AND(YEAR(E78)=Lịch!$T$2,ROUNDUP(MONTH(E78)/3,0)=Lịch!$W$2),MAX(X$6:X77)+1,""))</f>
        <v/>
      </c>
      <c r="Y78" s="74"/>
      <c r="Z78" s="71" t="str">
        <f t="shared" si="25"/>
        <v/>
      </c>
      <c r="AA78" s="72" t="str">
        <f t="shared" ca="1" si="26"/>
        <v/>
      </c>
    </row>
    <row r="79" spans="1:27" ht="18.75" customHeight="1" x14ac:dyDescent="0.25">
      <c r="A79" s="64" t="str">
        <f t="shared" si="18"/>
        <v/>
      </c>
      <c r="B79" s="65"/>
      <c r="C79" s="66"/>
      <c r="D79" s="65"/>
      <c r="E79" s="67"/>
      <c r="F79" s="67"/>
      <c r="G79" s="64" t="str">
        <f t="shared" si="19"/>
        <v/>
      </c>
      <c r="H79" s="65"/>
      <c r="I79" s="64" t="str">
        <f t="shared" si="20"/>
        <v/>
      </c>
      <c r="J79" s="66"/>
      <c r="K79" s="65"/>
      <c r="L79" s="65"/>
      <c r="M79" s="66"/>
      <c r="N79" s="65"/>
      <c r="O79" s="65"/>
      <c r="P79" s="65"/>
      <c r="Q79" s="68" t="str">
        <f t="shared" si="21"/>
        <v/>
      </c>
      <c r="R79" s="69"/>
      <c r="S79" s="70"/>
      <c r="T79" s="65"/>
      <c r="U79" s="64" t="str">
        <f t="shared" ca="1" si="22"/>
        <v/>
      </c>
      <c r="V79" s="64" t="str">
        <f t="shared" si="23"/>
        <v/>
      </c>
      <c r="W79" s="64" t="str">
        <f t="shared" si="24"/>
        <v/>
      </c>
      <c r="X79" s="64" t="str">
        <f>IF(E79="","",IF(AND(YEAR(E79)=Lịch!$T$2,ROUNDUP(MONTH(E79)/3,0)=Lịch!$W$2),MAX(X$6:X78)+1,""))</f>
        <v/>
      </c>
      <c r="Y79" s="66"/>
      <c r="Z79" s="71" t="str">
        <f t="shared" si="25"/>
        <v/>
      </c>
      <c r="AA79" s="72" t="str">
        <f t="shared" ca="1" si="26"/>
        <v/>
      </c>
    </row>
    <row r="80" spans="1:27" ht="18.75" customHeight="1" x14ac:dyDescent="0.25">
      <c r="A80" s="64" t="str">
        <f t="shared" si="18"/>
        <v/>
      </c>
      <c r="B80" s="73"/>
      <c r="C80" s="74"/>
      <c r="D80" s="73"/>
      <c r="E80" s="75"/>
      <c r="F80" s="75"/>
      <c r="G80" s="64" t="str">
        <f t="shared" si="19"/>
        <v/>
      </c>
      <c r="H80" s="73"/>
      <c r="I80" s="64" t="str">
        <f t="shared" si="20"/>
        <v/>
      </c>
      <c r="J80" s="74"/>
      <c r="K80" s="73"/>
      <c r="L80" s="73"/>
      <c r="M80" s="74"/>
      <c r="N80" s="73"/>
      <c r="O80" s="73"/>
      <c r="P80" s="73"/>
      <c r="Q80" s="68" t="str">
        <f t="shared" si="21"/>
        <v/>
      </c>
      <c r="R80" s="76"/>
      <c r="S80" s="77"/>
      <c r="T80" s="73"/>
      <c r="U80" s="64" t="str">
        <f t="shared" ca="1" si="22"/>
        <v/>
      </c>
      <c r="V80" s="64" t="str">
        <f t="shared" si="23"/>
        <v/>
      </c>
      <c r="W80" s="64" t="str">
        <f t="shared" si="24"/>
        <v/>
      </c>
      <c r="X80" s="64" t="str">
        <f>IF(E80="","",IF(AND(YEAR(E80)=Lịch!$T$2,ROUNDUP(MONTH(E80)/3,0)=Lịch!$W$2),MAX(X$6:X79)+1,""))</f>
        <v/>
      </c>
      <c r="Y80" s="74"/>
      <c r="Z80" s="71" t="str">
        <f t="shared" si="25"/>
        <v/>
      </c>
      <c r="AA80" s="72" t="str">
        <f t="shared" ca="1" si="26"/>
        <v/>
      </c>
    </row>
    <row r="81" spans="1:27" ht="18.75" customHeight="1" x14ac:dyDescent="0.25">
      <c r="A81" s="64" t="str">
        <f t="shared" si="18"/>
        <v/>
      </c>
      <c r="B81" s="65"/>
      <c r="C81" s="66"/>
      <c r="D81" s="65"/>
      <c r="E81" s="67"/>
      <c r="F81" s="67"/>
      <c r="G81" s="64" t="str">
        <f t="shared" si="19"/>
        <v/>
      </c>
      <c r="H81" s="65"/>
      <c r="I81" s="64" t="str">
        <f t="shared" si="20"/>
        <v/>
      </c>
      <c r="J81" s="66"/>
      <c r="K81" s="65"/>
      <c r="L81" s="65"/>
      <c r="M81" s="66"/>
      <c r="N81" s="65"/>
      <c r="O81" s="65"/>
      <c r="P81" s="65"/>
      <c r="Q81" s="68" t="str">
        <f t="shared" si="21"/>
        <v/>
      </c>
      <c r="R81" s="69"/>
      <c r="S81" s="70"/>
      <c r="T81" s="65"/>
      <c r="U81" s="64" t="str">
        <f t="shared" ca="1" si="22"/>
        <v/>
      </c>
      <c r="V81" s="64" t="str">
        <f t="shared" si="23"/>
        <v/>
      </c>
      <c r="W81" s="64" t="str">
        <f t="shared" si="24"/>
        <v/>
      </c>
      <c r="X81" s="64" t="str">
        <f>IF(E81="","",IF(AND(YEAR(E81)=Lịch!$T$2,ROUNDUP(MONTH(E81)/3,0)=Lịch!$W$2),MAX(X$6:X80)+1,""))</f>
        <v/>
      </c>
      <c r="Y81" s="66"/>
      <c r="Z81" s="71" t="str">
        <f t="shared" si="25"/>
        <v/>
      </c>
      <c r="AA81" s="72" t="str">
        <f t="shared" ca="1" si="26"/>
        <v/>
      </c>
    </row>
    <row r="82" spans="1:27" ht="18.75" customHeight="1" x14ac:dyDescent="0.25">
      <c r="A82" s="64" t="str">
        <f t="shared" si="18"/>
        <v/>
      </c>
      <c r="B82" s="73"/>
      <c r="C82" s="74"/>
      <c r="D82" s="73"/>
      <c r="E82" s="75"/>
      <c r="F82" s="75"/>
      <c r="G82" s="64" t="str">
        <f t="shared" si="19"/>
        <v/>
      </c>
      <c r="H82" s="73"/>
      <c r="I82" s="64" t="str">
        <f t="shared" si="20"/>
        <v/>
      </c>
      <c r="J82" s="74"/>
      <c r="K82" s="73"/>
      <c r="L82" s="73"/>
      <c r="M82" s="74"/>
      <c r="N82" s="73"/>
      <c r="O82" s="73"/>
      <c r="P82" s="73"/>
      <c r="Q82" s="68" t="str">
        <f t="shared" si="21"/>
        <v/>
      </c>
      <c r="R82" s="76"/>
      <c r="S82" s="77"/>
      <c r="T82" s="73"/>
      <c r="U82" s="64" t="str">
        <f t="shared" ca="1" si="22"/>
        <v/>
      </c>
      <c r="V82" s="64" t="str">
        <f t="shared" si="23"/>
        <v/>
      </c>
      <c r="W82" s="64" t="str">
        <f t="shared" si="24"/>
        <v/>
      </c>
      <c r="X82" s="64" t="str">
        <f>IF(E82="","",IF(AND(YEAR(E82)=Lịch!$T$2,ROUNDUP(MONTH(E82)/3,0)=Lịch!$W$2),MAX(X$6:X81)+1,""))</f>
        <v/>
      </c>
      <c r="Y82" s="74"/>
      <c r="Z82" s="71" t="str">
        <f t="shared" si="25"/>
        <v/>
      </c>
      <c r="AA82" s="72" t="str">
        <f t="shared" ca="1" si="26"/>
        <v/>
      </c>
    </row>
    <row r="83" spans="1:27" ht="18.75" customHeight="1" x14ac:dyDescent="0.25">
      <c r="A83" s="64" t="str">
        <f t="shared" si="18"/>
        <v/>
      </c>
      <c r="B83" s="65"/>
      <c r="C83" s="66"/>
      <c r="D83" s="65"/>
      <c r="E83" s="67"/>
      <c r="F83" s="67"/>
      <c r="G83" s="64" t="str">
        <f t="shared" si="19"/>
        <v/>
      </c>
      <c r="H83" s="65"/>
      <c r="I83" s="64" t="str">
        <f t="shared" si="20"/>
        <v/>
      </c>
      <c r="J83" s="66"/>
      <c r="K83" s="65"/>
      <c r="L83" s="65"/>
      <c r="M83" s="66"/>
      <c r="N83" s="65"/>
      <c r="O83" s="65"/>
      <c r="P83" s="65"/>
      <c r="Q83" s="68" t="str">
        <f t="shared" si="21"/>
        <v/>
      </c>
      <c r="R83" s="69"/>
      <c r="S83" s="70"/>
      <c r="T83" s="65"/>
      <c r="U83" s="64" t="str">
        <f t="shared" ca="1" si="22"/>
        <v/>
      </c>
      <c r="V83" s="64" t="str">
        <f t="shared" si="23"/>
        <v/>
      </c>
      <c r="W83" s="64" t="str">
        <f t="shared" si="24"/>
        <v/>
      </c>
      <c r="X83" s="64" t="str">
        <f>IF(E83="","",IF(AND(YEAR(E83)=Lịch!$T$2,ROUNDUP(MONTH(E83)/3,0)=Lịch!$W$2),MAX(X$6:X82)+1,""))</f>
        <v/>
      </c>
      <c r="Y83" s="66"/>
      <c r="Z83" s="71" t="str">
        <f t="shared" si="25"/>
        <v/>
      </c>
      <c r="AA83" s="72" t="str">
        <f t="shared" ca="1" si="26"/>
        <v/>
      </c>
    </row>
    <row r="84" spans="1:27" ht="18.75" customHeight="1" x14ac:dyDescent="0.25">
      <c r="A84" s="64" t="str">
        <f t="shared" si="18"/>
        <v/>
      </c>
      <c r="B84" s="73"/>
      <c r="C84" s="74"/>
      <c r="D84" s="73"/>
      <c r="E84" s="75"/>
      <c r="F84" s="75"/>
      <c r="G84" s="64" t="str">
        <f t="shared" si="19"/>
        <v/>
      </c>
      <c r="H84" s="73"/>
      <c r="I84" s="64" t="str">
        <f t="shared" si="20"/>
        <v/>
      </c>
      <c r="J84" s="74"/>
      <c r="K84" s="73"/>
      <c r="L84" s="73"/>
      <c r="M84" s="74"/>
      <c r="N84" s="73"/>
      <c r="O84" s="73"/>
      <c r="P84" s="73"/>
      <c r="Q84" s="68" t="str">
        <f t="shared" si="21"/>
        <v/>
      </c>
      <c r="R84" s="76"/>
      <c r="S84" s="77"/>
      <c r="T84" s="73"/>
      <c r="U84" s="64" t="str">
        <f t="shared" ca="1" si="22"/>
        <v/>
      </c>
      <c r="V84" s="64" t="str">
        <f t="shared" si="23"/>
        <v/>
      </c>
      <c r="W84" s="64" t="str">
        <f t="shared" si="24"/>
        <v/>
      </c>
      <c r="X84" s="64" t="str">
        <f>IF(E84="","",IF(AND(YEAR(E84)=Lịch!$T$2,ROUNDUP(MONTH(E84)/3,0)=Lịch!$W$2),MAX(X$6:X83)+1,""))</f>
        <v/>
      </c>
      <c r="Y84" s="74"/>
      <c r="Z84" s="71" t="str">
        <f t="shared" si="25"/>
        <v/>
      </c>
      <c r="AA84" s="72" t="str">
        <f t="shared" ca="1" si="26"/>
        <v/>
      </c>
    </row>
    <row r="85" spans="1:27" ht="18.75" customHeight="1" x14ac:dyDescent="0.25">
      <c r="A85" s="64" t="str">
        <f t="shared" si="18"/>
        <v/>
      </c>
      <c r="B85" s="65"/>
      <c r="C85" s="66"/>
      <c r="D85" s="65"/>
      <c r="E85" s="67"/>
      <c r="F85" s="67"/>
      <c r="G85" s="64" t="str">
        <f t="shared" si="19"/>
        <v/>
      </c>
      <c r="H85" s="65"/>
      <c r="I85" s="64" t="str">
        <f t="shared" si="20"/>
        <v/>
      </c>
      <c r="J85" s="66"/>
      <c r="K85" s="65"/>
      <c r="L85" s="65"/>
      <c r="M85" s="66"/>
      <c r="N85" s="65"/>
      <c r="O85" s="65"/>
      <c r="P85" s="65"/>
      <c r="Q85" s="68" t="str">
        <f t="shared" si="21"/>
        <v/>
      </c>
      <c r="R85" s="69"/>
      <c r="S85" s="70"/>
      <c r="T85" s="65"/>
      <c r="U85" s="64" t="str">
        <f t="shared" ca="1" si="22"/>
        <v/>
      </c>
      <c r="V85" s="64" t="str">
        <f t="shared" si="23"/>
        <v/>
      </c>
      <c r="W85" s="64" t="str">
        <f t="shared" si="24"/>
        <v/>
      </c>
      <c r="X85" s="64" t="str">
        <f>IF(E85="","",IF(AND(YEAR(E85)=Lịch!$T$2,ROUNDUP(MONTH(E85)/3,0)=Lịch!$W$2),MAX(X$6:X84)+1,""))</f>
        <v/>
      </c>
      <c r="Y85" s="66"/>
      <c r="Z85" s="71" t="str">
        <f t="shared" si="25"/>
        <v/>
      </c>
      <c r="AA85" s="72" t="str">
        <f t="shared" ca="1" si="26"/>
        <v/>
      </c>
    </row>
    <row r="86" spans="1:27" ht="18.75" customHeight="1" x14ac:dyDescent="0.25">
      <c r="A86" s="64" t="str">
        <f t="shared" si="18"/>
        <v/>
      </c>
      <c r="B86" s="73"/>
      <c r="C86" s="74"/>
      <c r="D86" s="73"/>
      <c r="E86" s="75"/>
      <c r="F86" s="75"/>
      <c r="G86" s="64" t="str">
        <f t="shared" si="19"/>
        <v/>
      </c>
      <c r="H86" s="73"/>
      <c r="I86" s="64" t="str">
        <f t="shared" si="20"/>
        <v/>
      </c>
      <c r="J86" s="74"/>
      <c r="K86" s="73"/>
      <c r="L86" s="73"/>
      <c r="M86" s="74"/>
      <c r="N86" s="73"/>
      <c r="O86" s="73"/>
      <c r="P86" s="73"/>
      <c r="Q86" s="68" t="str">
        <f t="shared" si="21"/>
        <v/>
      </c>
      <c r="R86" s="76"/>
      <c r="S86" s="77"/>
      <c r="T86" s="73"/>
      <c r="U86" s="64" t="str">
        <f t="shared" ca="1" si="22"/>
        <v/>
      </c>
      <c r="V86" s="64" t="str">
        <f t="shared" si="23"/>
        <v/>
      </c>
      <c r="W86" s="64" t="str">
        <f t="shared" si="24"/>
        <v/>
      </c>
      <c r="X86" s="64" t="str">
        <f>IF(E86="","",IF(AND(YEAR(E86)=Lịch!$T$2,ROUNDUP(MONTH(E86)/3,0)=Lịch!$W$2),MAX(X$6:X85)+1,""))</f>
        <v/>
      </c>
      <c r="Y86" s="74"/>
      <c r="Z86" s="71" t="str">
        <f t="shared" si="25"/>
        <v/>
      </c>
      <c r="AA86" s="72" t="str">
        <f t="shared" ca="1" si="26"/>
        <v/>
      </c>
    </row>
    <row r="87" spans="1:27" ht="18.75" customHeight="1" x14ac:dyDescent="0.25">
      <c r="A87" s="64" t="str">
        <f t="shared" si="18"/>
        <v/>
      </c>
      <c r="B87" s="65"/>
      <c r="C87" s="66"/>
      <c r="D87" s="65"/>
      <c r="E87" s="67"/>
      <c r="F87" s="67"/>
      <c r="G87" s="64" t="str">
        <f t="shared" si="19"/>
        <v/>
      </c>
      <c r="H87" s="65"/>
      <c r="I87" s="64" t="str">
        <f t="shared" si="20"/>
        <v/>
      </c>
      <c r="J87" s="66"/>
      <c r="K87" s="65"/>
      <c r="L87" s="65"/>
      <c r="M87" s="66"/>
      <c r="N87" s="65"/>
      <c r="O87" s="65"/>
      <c r="P87" s="65"/>
      <c r="Q87" s="68" t="str">
        <f t="shared" si="21"/>
        <v/>
      </c>
      <c r="R87" s="69"/>
      <c r="S87" s="70"/>
      <c r="T87" s="65"/>
      <c r="U87" s="64" t="str">
        <f t="shared" ca="1" si="22"/>
        <v/>
      </c>
      <c r="V87" s="64" t="str">
        <f t="shared" si="23"/>
        <v/>
      </c>
      <c r="W87" s="64" t="str">
        <f t="shared" si="24"/>
        <v/>
      </c>
      <c r="X87" s="64" t="str">
        <f>IF(E87="","",IF(AND(YEAR(E87)=Lịch!$T$2,ROUNDUP(MONTH(E87)/3,0)=Lịch!$W$2),MAX(X$6:X86)+1,""))</f>
        <v/>
      </c>
      <c r="Y87" s="66"/>
      <c r="Z87" s="71" t="str">
        <f t="shared" si="25"/>
        <v/>
      </c>
      <c r="AA87" s="72" t="str">
        <f t="shared" ca="1" si="26"/>
        <v/>
      </c>
    </row>
    <row r="88" spans="1:27" ht="18.75" customHeight="1" x14ac:dyDescent="0.25">
      <c r="A88" s="64" t="str">
        <f t="shared" si="18"/>
        <v/>
      </c>
      <c r="B88" s="73"/>
      <c r="C88" s="74"/>
      <c r="D88" s="73"/>
      <c r="E88" s="75"/>
      <c r="F88" s="75"/>
      <c r="G88" s="64" t="str">
        <f t="shared" si="19"/>
        <v/>
      </c>
      <c r="H88" s="73"/>
      <c r="I88" s="64" t="str">
        <f t="shared" si="20"/>
        <v/>
      </c>
      <c r="J88" s="74"/>
      <c r="K88" s="73"/>
      <c r="L88" s="73"/>
      <c r="M88" s="74"/>
      <c r="N88" s="73"/>
      <c r="O88" s="73"/>
      <c r="P88" s="73"/>
      <c r="Q88" s="68" t="str">
        <f t="shared" si="21"/>
        <v/>
      </c>
      <c r="R88" s="76"/>
      <c r="S88" s="77"/>
      <c r="T88" s="73"/>
      <c r="U88" s="64" t="str">
        <f t="shared" ca="1" si="22"/>
        <v/>
      </c>
      <c r="V88" s="64" t="str">
        <f t="shared" si="23"/>
        <v/>
      </c>
      <c r="W88" s="64" t="str">
        <f t="shared" si="24"/>
        <v/>
      </c>
      <c r="X88" s="64" t="str">
        <f>IF(E88="","",IF(AND(YEAR(E88)=Lịch!$T$2,ROUNDUP(MONTH(E88)/3,0)=Lịch!$W$2),MAX(X$6:X87)+1,""))</f>
        <v/>
      </c>
      <c r="Y88" s="74"/>
      <c r="Z88" s="71" t="str">
        <f t="shared" si="25"/>
        <v/>
      </c>
      <c r="AA88" s="72" t="str">
        <f t="shared" ca="1" si="26"/>
        <v/>
      </c>
    </row>
    <row r="89" spans="1:27" ht="18.75" customHeight="1" x14ac:dyDescent="0.25">
      <c r="A89" s="64" t="str">
        <f t="shared" si="18"/>
        <v/>
      </c>
      <c r="B89" s="65"/>
      <c r="C89" s="66"/>
      <c r="D89" s="65"/>
      <c r="E89" s="67"/>
      <c r="F89" s="67"/>
      <c r="G89" s="64" t="str">
        <f t="shared" si="19"/>
        <v/>
      </c>
      <c r="H89" s="65"/>
      <c r="I89" s="64" t="str">
        <f t="shared" si="20"/>
        <v/>
      </c>
      <c r="J89" s="66"/>
      <c r="K89" s="65"/>
      <c r="L89" s="65"/>
      <c r="M89" s="66"/>
      <c r="N89" s="65"/>
      <c r="O89" s="65"/>
      <c r="P89" s="65"/>
      <c r="Q89" s="68" t="str">
        <f t="shared" si="21"/>
        <v/>
      </c>
      <c r="R89" s="69"/>
      <c r="S89" s="70"/>
      <c r="T89" s="65"/>
      <c r="U89" s="64" t="str">
        <f t="shared" ca="1" si="22"/>
        <v/>
      </c>
      <c r="V89" s="64" t="str">
        <f t="shared" si="23"/>
        <v/>
      </c>
      <c r="W89" s="64" t="str">
        <f t="shared" si="24"/>
        <v/>
      </c>
      <c r="X89" s="64" t="str">
        <f>IF(E89="","",IF(AND(YEAR(E89)=Lịch!$T$2,ROUNDUP(MONTH(E89)/3,0)=Lịch!$W$2),MAX(X$6:X88)+1,""))</f>
        <v/>
      </c>
      <c r="Y89" s="66"/>
      <c r="Z89" s="71" t="str">
        <f t="shared" si="25"/>
        <v/>
      </c>
      <c r="AA89" s="72" t="str">
        <f t="shared" ca="1" si="26"/>
        <v/>
      </c>
    </row>
    <row r="90" spans="1:27" ht="18.75" customHeight="1" x14ac:dyDescent="0.25">
      <c r="A90" s="64" t="str">
        <f t="shared" si="18"/>
        <v/>
      </c>
      <c r="B90" s="73"/>
      <c r="C90" s="74"/>
      <c r="D90" s="73"/>
      <c r="E90" s="75"/>
      <c r="F90" s="75"/>
      <c r="G90" s="64" t="str">
        <f t="shared" si="19"/>
        <v/>
      </c>
      <c r="H90" s="73"/>
      <c r="I90" s="64" t="str">
        <f t="shared" si="20"/>
        <v/>
      </c>
      <c r="J90" s="74"/>
      <c r="K90" s="73"/>
      <c r="L90" s="73"/>
      <c r="M90" s="74"/>
      <c r="N90" s="73"/>
      <c r="O90" s="73"/>
      <c r="P90" s="73"/>
      <c r="Q90" s="68" t="str">
        <f t="shared" si="21"/>
        <v/>
      </c>
      <c r="R90" s="76"/>
      <c r="S90" s="77"/>
      <c r="T90" s="73"/>
      <c r="U90" s="64" t="str">
        <f t="shared" ca="1" si="22"/>
        <v/>
      </c>
      <c r="V90" s="64" t="str">
        <f t="shared" si="23"/>
        <v/>
      </c>
      <c r="W90" s="64" t="str">
        <f t="shared" si="24"/>
        <v/>
      </c>
      <c r="X90" s="64" t="str">
        <f>IF(E90="","",IF(AND(YEAR(E90)=Lịch!$T$2,ROUNDUP(MONTH(E90)/3,0)=Lịch!$W$2),MAX(X$6:X89)+1,""))</f>
        <v/>
      </c>
      <c r="Y90" s="74"/>
      <c r="Z90" s="71" t="str">
        <f t="shared" si="25"/>
        <v/>
      </c>
      <c r="AA90" s="72" t="str">
        <f t="shared" ca="1" si="26"/>
        <v/>
      </c>
    </row>
    <row r="91" spans="1:27" ht="18.75" customHeight="1" x14ac:dyDescent="0.25">
      <c r="A91" s="64" t="str">
        <f t="shared" si="18"/>
        <v/>
      </c>
      <c r="B91" s="65"/>
      <c r="C91" s="66"/>
      <c r="D91" s="65"/>
      <c r="E91" s="67"/>
      <c r="F91" s="67"/>
      <c r="G91" s="64" t="str">
        <f t="shared" si="19"/>
        <v/>
      </c>
      <c r="H91" s="65"/>
      <c r="I91" s="64" t="str">
        <f t="shared" si="20"/>
        <v/>
      </c>
      <c r="J91" s="66"/>
      <c r="K91" s="65"/>
      <c r="L91" s="65"/>
      <c r="M91" s="66"/>
      <c r="N91" s="65"/>
      <c r="O91" s="65"/>
      <c r="P91" s="65"/>
      <c r="Q91" s="68" t="str">
        <f t="shared" si="21"/>
        <v/>
      </c>
      <c r="R91" s="69"/>
      <c r="S91" s="70"/>
      <c r="T91" s="65"/>
      <c r="U91" s="64" t="str">
        <f t="shared" ca="1" si="22"/>
        <v/>
      </c>
      <c r="V91" s="64" t="str">
        <f t="shared" si="23"/>
        <v/>
      </c>
      <c r="W91" s="64" t="str">
        <f t="shared" si="24"/>
        <v/>
      </c>
      <c r="X91" s="64" t="str">
        <f>IF(E91="","",IF(AND(YEAR(E91)=Lịch!$T$2,ROUNDUP(MONTH(E91)/3,0)=Lịch!$W$2),MAX(X$6:X90)+1,""))</f>
        <v/>
      </c>
      <c r="Y91" s="66"/>
      <c r="Z91" s="71" t="str">
        <f t="shared" si="25"/>
        <v/>
      </c>
      <c r="AA91" s="72" t="str">
        <f t="shared" ca="1" si="26"/>
        <v/>
      </c>
    </row>
    <row r="92" spans="1:27" ht="18.75" customHeight="1" x14ac:dyDescent="0.25">
      <c r="A92" s="64" t="str">
        <f t="shared" si="18"/>
        <v/>
      </c>
      <c r="B92" s="73"/>
      <c r="C92" s="74"/>
      <c r="D92" s="73"/>
      <c r="E92" s="75"/>
      <c r="F92" s="75"/>
      <c r="G92" s="64" t="str">
        <f t="shared" si="19"/>
        <v/>
      </c>
      <c r="H92" s="73"/>
      <c r="I92" s="64" t="str">
        <f t="shared" si="20"/>
        <v/>
      </c>
      <c r="J92" s="74"/>
      <c r="K92" s="73"/>
      <c r="L92" s="73"/>
      <c r="M92" s="74"/>
      <c r="N92" s="73"/>
      <c r="O92" s="73"/>
      <c r="P92" s="73"/>
      <c r="Q92" s="68" t="str">
        <f t="shared" si="21"/>
        <v/>
      </c>
      <c r="R92" s="76"/>
      <c r="S92" s="77"/>
      <c r="T92" s="73"/>
      <c r="U92" s="64" t="str">
        <f t="shared" ca="1" si="22"/>
        <v/>
      </c>
      <c r="V92" s="64" t="str">
        <f t="shared" si="23"/>
        <v/>
      </c>
      <c r="W92" s="64" t="str">
        <f t="shared" si="24"/>
        <v/>
      </c>
      <c r="X92" s="64" t="str">
        <f>IF(E92="","",IF(AND(YEAR(E92)=Lịch!$T$2,ROUNDUP(MONTH(E92)/3,0)=Lịch!$W$2),MAX(X$6:X91)+1,""))</f>
        <v/>
      </c>
      <c r="Y92" s="74"/>
      <c r="Z92" s="71" t="str">
        <f t="shared" si="25"/>
        <v/>
      </c>
      <c r="AA92" s="72" t="str">
        <f t="shared" ca="1" si="26"/>
        <v/>
      </c>
    </row>
    <row r="93" spans="1:27" ht="18.75" customHeight="1" x14ac:dyDescent="0.25">
      <c r="A93" s="64" t="str">
        <f t="shared" si="18"/>
        <v/>
      </c>
      <c r="B93" s="65"/>
      <c r="C93" s="66"/>
      <c r="D93" s="65"/>
      <c r="E93" s="67"/>
      <c r="F93" s="67"/>
      <c r="G93" s="64" t="str">
        <f t="shared" si="19"/>
        <v/>
      </c>
      <c r="H93" s="65"/>
      <c r="I93" s="64" t="str">
        <f t="shared" si="20"/>
        <v/>
      </c>
      <c r="J93" s="66"/>
      <c r="K93" s="65"/>
      <c r="L93" s="65"/>
      <c r="M93" s="66"/>
      <c r="N93" s="65"/>
      <c r="O93" s="65"/>
      <c r="P93" s="65"/>
      <c r="Q93" s="68" t="str">
        <f t="shared" si="21"/>
        <v/>
      </c>
      <c r="R93" s="69"/>
      <c r="S93" s="70"/>
      <c r="T93" s="65"/>
      <c r="U93" s="64" t="str">
        <f t="shared" ca="1" si="22"/>
        <v/>
      </c>
      <c r="V93" s="64" t="str">
        <f t="shared" si="23"/>
        <v/>
      </c>
      <c r="W93" s="64" t="str">
        <f t="shared" si="24"/>
        <v/>
      </c>
      <c r="X93" s="64" t="str">
        <f>IF(E93="","",IF(AND(YEAR(E93)=Lịch!$T$2,ROUNDUP(MONTH(E93)/3,0)=Lịch!$W$2),MAX(X$6:X92)+1,""))</f>
        <v/>
      </c>
      <c r="Y93" s="66"/>
      <c r="Z93" s="71" t="str">
        <f t="shared" si="25"/>
        <v/>
      </c>
      <c r="AA93" s="72" t="str">
        <f t="shared" ca="1" si="26"/>
        <v/>
      </c>
    </row>
    <row r="94" spans="1:27" ht="18.75" customHeight="1" x14ac:dyDescent="0.25">
      <c r="A94" s="64" t="str">
        <f t="shared" si="18"/>
        <v/>
      </c>
      <c r="B94" s="73"/>
      <c r="C94" s="74"/>
      <c r="D94" s="73"/>
      <c r="E94" s="75"/>
      <c r="F94" s="75"/>
      <c r="G94" s="64" t="str">
        <f t="shared" si="19"/>
        <v/>
      </c>
      <c r="H94" s="73"/>
      <c r="I94" s="64" t="str">
        <f t="shared" si="20"/>
        <v/>
      </c>
      <c r="J94" s="74"/>
      <c r="K94" s="73"/>
      <c r="L94" s="73"/>
      <c r="M94" s="74"/>
      <c r="N94" s="73"/>
      <c r="O94" s="73"/>
      <c r="P94" s="73"/>
      <c r="Q94" s="68" t="str">
        <f t="shared" si="21"/>
        <v/>
      </c>
      <c r="R94" s="76"/>
      <c r="S94" s="77"/>
      <c r="T94" s="73"/>
      <c r="U94" s="64" t="str">
        <f t="shared" ca="1" si="22"/>
        <v/>
      </c>
      <c r="V94" s="64" t="str">
        <f t="shared" si="23"/>
        <v/>
      </c>
      <c r="W94" s="64" t="str">
        <f t="shared" si="24"/>
        <v/>
      </c>
      <c r="X94" s="64" t="str">
        <f>IF(E94="","",IF(AND(YEAR(E94)=Lịch!$T$2,ROUNDUP(MONTH(E94)/3,0)=Lịch!$W$2),MAX(X$6:X93)+1,""))</f>
        <v/>
      </c>
      <c r="Y94" s="74"/>
      <c r="Z94" s="71" t="str">
        <f t="shared" si="25"/>
        <v/>
      </c>
      <c r="AA94" s="72" t="str">
        <f t="shared" ca="1" si="26"/>
        <v/>
      </c>
    </row>
    <row r="95" spans="1:27" ht="18.75" customHeight="1" x14ac:dyDescent="0.25">
      <c r="A95" s="64" t="str">
        <f t="shared" si="18"/>
        <v/>
      </c>
      <c r="B95" s="65"/>
      <c r="C95" s="66"/>
      <c r="D95" s="65"/>
      <c r="E95" s="67"/>
      <c r="F95" s="67"/>
      <c r="G95" s="64" t="str">
        <f t="shared" si="19"/>
        <v/>
      </c>
      <c r="H95" s="65"/>
      <c r="I95" s="64" t="str">
        <f t="shared" si="20"/>
        <v/>
      </c>
      <c r="J95" s="66"/>
      <c r="K95" s="65"/>
      <c r="L95" s="65"/>
      <c r="M95" s="66"/>
      <c r="N95" s="65"/>
      <c r="O95" s="65"/>
      <c r="P95" s="65"/>
      <c r="Q95" s="68" t="str">
        <f t="shared" si="21"/>
        <v/>
      </c>
      <c r="R95" s="69"/>
      <c r="S95" s="70"/>
      <c r="T95" s="65"/>
      <c r="U95" s="64" t="str">
        <f t="shared" ca="1" si="22"/>
        <v/>
      </c>
      <c r="V95" s="64" t="str">
        <f t="shared" si="23"/>
        <v/>
      </c>
      <c r="W95" s="64" t="str">
        <f t="shared" si="24"/>
        <v/>
      </c>
      <c r="X95" s="64" t="str">
        <f>IF(E95="","",IF(AND(YEAR(E95)=Lịch!$T$2,ROUNDUP(MONTH(E95)/3,0)=Lịch!$W$2),MAX(X$6:X94)+1,""))</f>
        <v/>
      </c>
      <c r="Y95" s="66"/>
      <c r="Z95" s="71" t="str">
        <f t="shared" si="25"/>
        <v/>
      </c>
      <c r="AA95" s="72" t="str">
        <f t="shared" ca="1" si="26"/>
        <v/>
      </c>
    </row>
    <row r="96" spans="1:27" ht="18.75" customHeight="1" x14ac:dyDescent="0.25">
      <c r="A96" s="64" t="str">
        <f t="shared" si="18"/>
        <v/>
      </c>
      <c r="B96" s="73"/>
      <c r="C96" s="74"/>
      <c r="D96" s="73"/>
      <c r="E96" s="75"/>
      <c r="F96" s="75"/>
      <c r="G96" s="64" t="str">
        <f t="shared" si="19"/>
        <v/>
      </c>
      <c r="H96" s="73"/>
      <c r="I96" s="64" t="str">
        <f t="shared" si="20"/>
        <v/>
      </c>
      <c r="J96" s="74"/>
      <c r="K96" s="73"/>
      <c r="L96" s="73"/>
      <c r="M96" s="74"/>
      <c r="N96" s="73"/>
      <c r="O96" s="73"/>
      <c r="P96" s="73"/>
      <c r="Q96" s="68" t="str">
        <f t="shared" si="21"/>
        <v/>
      </c>
      <c r="R96" s="76"/>
      <c r="S96" s="77"/>
      <c r="T96" s="73"/>
      <c r="U96" s="64" t="str">
        <f t="shared" ca="1" si="22"/>
        <v/>
      </c>
      <c r="V96" s="64" t="str">
        <f t="shared" si="23"/>
        <v/>
      </c>
      <c r="W96" s="64" t="str">
        <f t="shared" si="24"/>
        <v/>
      </c>
      <c r="X96" s="64" t="str">
        <f>IF(E96="","",IF(AND(YEAR(E96)=Lịch!$T$2,ROUNDUP(MONTH(E96)/3,0)=Lịch!$W$2),MAX(X$6:X95)+1,""))</f>
        <v/>
      </c>
      <c r="Y96" s="74"/>
      <c r="Z96" s="71" t="str">
        <f t="shared" si="25"/>
        <v/>
      </c>
      <c r="AA96" s="72" t="str">
        <f t="shared" ca="1" si="26"/>
        <v/>
      </c>
    </row>
    <row r="97" spans="1:27" ht="18.75" customHeight="1" x14ac:dyDescent="0.25">
      <c r="A97" s="64" t="str">
        <f t="shared" si="18"/>
        <v/>
      </c>
      <c r="B97" s="65"/>
      <c r="C97" s="66"/>
      <c r="D97" s="65"/>
      <c r="E97" s="67"/>
      <c r="F97" s="67"/>
      <c r="G97" s="64" t="str">
        <f t="shared" si="19"/>
        <v/>
      </c>
      <c r="H97" s="65"/>
      <c r="I97" s="64" t="str">
        <f t="shared" si="20"/>
        <v/>
      </c>
      <c r="J97" s="66"/>
      <c r="K97" s="65"/>
      <c r="L97" s="65"/>
      <c r="M97" s="66"/>
      <c r="N97" s="65"/>
      <c r="O97" s="65"/>
      <c r="P97" s="65"/>
      <c r="Q97" s="68" t="str">
        <f t="shared" si="21"/>
        <v/>
      </c>
      <c r="R97" s="69"/>
      <c r="S97" s="70"/>
      <c r="T97" s="65"/>
      <c r="U97" s="64" t="str">
        <f t="shared" ca="1" si="22"/>
        <v/>
      </c>
      <c r="V97" s="64" t="str">
        <f t="shared" si="23"/>
        <v/>
      </c>
      <c r="W97" s="64" t="str">
        <f t="shared" si="24"/>
        <v/>
      </c>
      <c r="X97" s="64" t="str">
        <f>IF(E97="","",IF(AND(YEAR(E97)=Lịch!$T$2,ROUNDUP(MONTH(E97)/3,0)=Lịch!$W$2),MAX(X$6:X96)+1,""))</f>
        <v/>
      </c>
      <c r="Y97" s="66"/>
      <c r="Z97" s="71" t="str">
        <f t="shared" si="25"/>
        <v/>
      </c>
      <c r="AA97" s="72" t="str">
        <f t="shared" ca="1" si="26"/>
        <v/>
      </c>
    </row>
    <row r="98" spans="1:27" ht="18.75" customHeight="1" x14ac:dyDescent="0.25">
      <c r="A98" s="64" t="str">
        <f t="shared" si="18"/>
        <v/>
      </c>
      <c r="B98" s="73"/>
      <c r="C98" s="74"/>
      <c r="D98" s="73"/>
      <c r="E98" s="75"/>
      <c r="F98" s="75"/>
      <c r="G98" s="64" t="str">
        <f t="shared" si="19"/>
        <v/>
      </c>
      <c r="H98" s="73"/>
      <c r="I98" s="64" t="str">
        <f t="shared" si="20"/>
        <v/>
      </c>
      <c r="J98" s="74"/>
      <c r="K98" s="73"/>
      <c r="L98" s="73"/>
      <c r="M98" s="74"/>
      <c r="N98" s="73"/>
      <c r="O98" s="73"/>
      <c r="P98" s="73"/>
      <c r="Q98" s="68" t="str">
        <f t="shared" si="21"/>
        <v/>
      </c>
      <c r="R98" s="76"/>
      <c r="S98" s="77"/>
      <c r="T98" s="73"/>
      <c r="U98" s="64" t="str">
        <f t="shared" ca="1" si="22"/>
        <v/>
      </c>
      <c r="V98" s="64" t="str">
        <f t="shared" si="23"/>
        <v/>
      </c>
      <c r="W98" s="64" t="str">
        <f t="shared" si="24"/>
        <v/>
      </c>
      <c r="X98" s="64" t="str">
        <f>IF(E98="","",IF(AND(YEAR(E98)=Lịch!$T$2,ROUNDUP(MONTH(E98)/3,0)=Lịch!$W$2),MAX(X$6:X97)+1,""))</f>
        <v/>
      </c>
      <c r="Y98" s="74"/>
      <c r="Z98" s="71" t="str">
        <f t="shared" si="25"/>
        <v/>
      </c>
      <c r="AA98" s="72" t="str">
        <f t="shared" ca="1" si="26"/>
        <v/>
      </c>
    </row>
    <row r="99" spans="1:27" ht="18.75" customHeight="1" x14ac:dyDescent="0.25">
      <c r="A99" s="64" t="str">
        <f t="shared" si="18"/>
        <v/>
      </c>
      <c r="B99" s="65"/>
      <c r="C99" s="66"/>
      <c r="D99" s="65"/>
      <c r="E99" s="67"/>
      <c r="F99" s="67"/>
      <c r="G99" s="64" t="str">
        <f t="shared" si="19"/>
        <v/>
      </c>
      <c r="H99" s="65"/>
      <c r="I99" s="64" t="str">
        <f t="shared" si="20"/>
        <v/>
      </c>
      <c r="J99" s="66"/>
      <c r="K99" s="65"/>
      <c r="L99" s="65"/>
      <c r="M99" s="66"/>
      <c r="N99" s="65"/>
      <c r="O99" s="65"/>
      <c r="P99" s="65"/>
      <c r="Q99" s="68" t="str">
        <f t="shared" si="21"/>
        <v/>
      </c>
      <c r="R99" s="69"/>
      <c r="S99" s="70"/>
      <c r="T99" s="65"/>
      <c r="U99" s="64" t="str">
        <f t="shared" ca="1" si="22"/>
        <v/>
      </c>
      <c r="V99" s="64" t="str">
        <f t="shared" si="23"/>
        <v/>
      </c>
      <c r="W99" s="64" t="str">
        <f t="shared" si="24"/>
        <v/>
      </c>
      <c r="X99" s="64" t="str">
        <f>IF(E99="","",IF(AND(YEAR(E99)=Lịch!$T$2,ROUNDUP(MONTH(E99)/3,0)=Lịch!$W$2),MAX(X$6:X98)+1,""))</f>
        <v/>
      </c>
      <c r="Y99" s="66"/>
      <c r="Z99" s="71" t="str">
        <f t="shared" si="25"/>
        <v/>
      </c>
      <c r="AA99" s="72" t="str">
        <f t="shared" ca="1" si="26"/>
        <v/>
      </c>
    </row>
    <row r="100" spans="1:27" ht="18.75" customHeight="1" x14ac:dyDescent="0.25">
      <c r="A100" s="64" t="str">
        <f t="shared" si="18"/>
        <v/>
      </c>
      <c r="B100" s="73"/>
      <c r="C100" s="74"/>
      <c r="D100" s="73"/>
      <c r="E100" s="75"/>
      <c r="F100" s="75"/>
      <c r="G100" s="64" t="str">
        <f t="shared" si="19"/>
        <v/>
      </c>
      <c r="H100" s="73"/>
      <c r="I100" s="64" t="str">
        <f t="shared" si="20"/>
        <v/>
      </c>
      <c r="J100" s="74"/>
      <c r="K100" s="73"/>
      <c r="L100" s="73"/>
      <c r="M100" s="74"/>
      <c r="N100" s="73"/>
      <c r="O100" s="73"/>
      <c r="P100" s="73"/>
      <c r="Q100" s="68" t="str">
        <f t="shared" si="21"/>
        <v/>
      </c>
      <c r="R100" s="76"/>
      <c r="S100" s="77"/>
      <c r="T100" s="73"/>
      <c r="U100" s="64" t="str">
        <f t="shared" ca="1" si="22"/>
        <v/>
      </c>
      <c r="V100" s="64" t="str">
        <f t="shared" si="23"/>
        <v/>
      </c>
      <c r="W100" s="64" t="str">
        <f t="shared" si="24"/>
        <v/>
      </c>
      <c r="X100" s="64" t="str">
        <f>IF(E100="","",IF(AND(YEAR(E100)=Lịch!$T$2,ROUNDUP(MONTH(E100)/3,0)=Lịch!$W$2),MAX(X$6:X99)+1,""))</f>
        <v/>
      </c>
      <c r="Y100" s="74"/>
      <c r="Z100" s="71" t="str">
        <f t="shared" si="25"/>
        <v/>
      </c>
      <c r="AA100" s="72" t="str">
        <f t="shared" ca="1" si="26"/>
        <v/>
      </c>
    </row>
    <row r="101" spans="1:27" ht="18.75" customHeight="1" x14ac:dyDescent="0.25">
      <c r="A101" s="64" t="str">
        <f t="shared" si="18"/>
        <v/>
      </c>
      <c r="B101" s="65"/>
      <c r="C101" s="66"/>
      <c r="D101" s="65"/>
      <c r="E101" s="67"/>
      <c r="F101" s="67"/>
      <c r="G101" s="64" t="str">
        <f t="shared" si="19"/>
        <v/>
      </c>
      <c r="H101" s="65"/>
      <c r="I101" s="64" t="str">
        <f t="shared" si="20"/>
        <v/>
      </c>
      <c r="J101" s="66"/>
      <c r="K101" s="65"/>
      <c r="L101" s="65"/>
      <c r="M101" s="66"/>
      <c r="N101" s="65"/>
      <c r="O101" s="65"/>
      <c r="P101" s="65"/>
      <c r="Q101" s="68" t="str">
        <f t="shared" si="21"/>
        <v/>
      </c>
      <c r="R101" s="69"/>
      <c r="S101" s="70"/>
      <c r="T101" s="65"/>
      <c r="U101" s="64" t="str">
        <f t="shared" ca="1" si="22"/>
        <v/>
      </c>
      <c r="V101" s="64" t="str">
        <f t="shared" si="23"/>
        <v/>
      </c>
      <c r="W101" s="64" t="str">
        <f t="shared" si="24"/>
        <v/>
      </c>
      <c r="X101" s="64" t="str">
        <f>IF(E101="","",IF(AND(YEAR(E101)=Lịch!$T$2,ROUNDUP(MONTH(E101)/3,0)=Lịch!$W$2),MAX(X$6:X100)+1,""))</f>
        <v/>
      </c>
      <c r="Y101" s="66"/>
      <c r="Z101" s="71" t="str">
        <f t="shared" si="25"/>
        <v/>
      </c>
      <c r="AA101" s="72" t="str">
        <f t="shared" ca="1" si="26"/>
        <v/>
      </c>
    </row>
    <row r="102" spans="1:27" ht="18.75" customHeight="1" x14ac:dyDescent="0.25">
      <c r="A102" s="64" t="str">
        <f t="shared" si="18"/>
        <v/>
      </c>
      <c r="B102" s="73"/>
      <c r="C102" s="74"/>
      <c r="D102" s="73"/>
      <c r="E102" s="75"/>
      <c r="F102" s="75"/>
      <c r="G102" s="64" t="str">
        <f t="shared" si="19"/>
        <v/>
      </c>
      <c r="H102" s="73"/>
      <c r="I102" s="64" t="str">
        <f t="shared" si="20"/>
        <v/>
      </c>
      <c r="J102" s="74"/>
      <c r="K102" s="73"/>
      <c r="L102" s="73"/>
      <c r="M102" s="74"/>
      <c r="N102" s="73"/>
      <c r="O102" s="73"/>
      <c r="P102" s="73"/>
      <c r="Q102" s="68" t="str">
        <f t="shared" si="21"/>
        <v/>
      </c>
      <c r="R102" s="76"/>
      <c r="S102" s="77"/>
      <c r="T102" s="73"/>
      <c r="U102" s="64" t="str">
        <f t="shared" ca="1" si="22"/>
        <v/>
      </c>
      <c r="V102" s="64" t="str">
        <f t="shared" si="23"/>
        <v/>
      </c>
      <c r="W102" s="64" t="str">
        <f t="shared" si="24"/>
        <v/>
      </c>
      <c r="X102" s="64" t="str">
        <f>IF(E102="","",IF(AND(YEAR(E102)=Lịch!$T$2,ROUNDUP(MONTH(E102)/3,0)=Lịch!$W$2),MAX(X$6:X101)+1,""))</f>
        <v/>
      </c>
      <c r="Y102" s="74"/>
      <c r="Z102" s="71" t="str">
        <f t="shared" si="25"/>
        <v/>
      </c>
      <c r="AA102" s="72" t="str">
        <f t="shared" ca="1" si="26"/>
        <v/>
      </c>
    </row>
    <row r="103" spans="1:27" ht="18.75" customHeight="1" x14ac:dyDescent="0.25">
      <c r="A103" s="64" t="str">
        <f t="shared" ref="A103:A134" si="27">IF(C103="","",ROW()-6)</f>
        <v/>
      </c>
      <c r="B103" s="65"/>
      <c r="C103" s="66"/>
      <c r="D103" s="65"/>
      <c r="E103" s="67"/>
      <c r="F103" s="67"/>
      <c r="G103" s="64" t="str">
        <f t="shared" ref="G103:G134" si="28">IF(OR(E103="",F103=""),"",NETWORKDAYS(E103,F103))</f>
        <v/>
      </c>
      <c r="H103" s="65"/>
      <c r="I103" s="64" t="str">
        <f t="shared" ref="I103:I134" si="29">IF(OR(G103="",H103=""),"",G103*H103)</f>
        <v/>
      </c>
      <c r="J103" s="66"/>
      <c r="K103" s="65"/>
      <c r="L103" s="65"/>
      <c r="M103" s="66"/>
      <c r="N103" s="65"/>
      <c r="O103" s="65"/>
      <c r="P103" s="65"/>
      <c r="Q103" s="68" t="str">
        <f t="shared" ref="Q103:Q134" si="30">IF(OR(O103="",O103=0,P103=""),"",P103/O103)</f>
        <v/>
      </c>
      <c r="R103" s="69"/>
      <c r="S103" s="70"/>
      <c r="T103" s="65"/>
      <c r="U103" s="64" t="str">
        <f t="shared" ref="U103:U134" ca="1" si="31">IF(C103="","",IF(T103&lt;&gt;"",T103,IF(E103="","Chưa xếp lịch",IF(TODAY()&lt;E103,"Sắp diễn ra",IF(TODAY()&gt;F103,"Đã hoàn thành","Đang diễn ra")))))</f>
        <v/>
      </c>
      <c r="V103" s="64" t="str">
        <f t="shared" ref="V103:V134" si="32">IF(E103="","","Q"&amp;ROUNDUP(MONTH(E103)/3,0))</f>
        <v/>
      </c>
      <c r="W103" s="64" t="str">
        <f t="shared" ref="W103:W134" si="33">IF(E103="","",YEAR(E103))</f>
        <v/>
      </c>
      <c r="X103" s="64" t="str">
        <f>IF(E103="","",IF(AND(YEAR(E103)=Lịch!$T$2,ROUNDUP(MONTH(E103)/3,0)=Lịch!$W$2),MAX(X$6:X102)+1,""))</f>
        <v/>
      </c>
      <c r="Y103" s="66"/>
      <c r="Z103" s="71" t="str">
        <f t="shared" ref="Z103:Z134" si="34">IF(OR(I103="",P103=""),"",I103*P103)</f>
        <v/>
      </c>
      <c r="AA103" s="72" t="str">
        <f t="shared" ref="AA103:AA134" ca="1" si="35">IF(AND(C103&lt;&gt;"",T103="",E103&lt;&gt;"",F103&gt;=TODAY()),E103+ROW()/100000,"")</f>
        <v/>
      </c>
    </row>
    <row r="104" spans="1:27" ht="18.75" customHeight="1" x14ac:dyDescent="0.25">
      <c r="A104" s="64" t="str">
        <f t="shared" si="27"/>
        <v/>
      </c>
      <c r="B104" s="73"/>
      <c r="C104" s="74"/>
      <c r="D104" s="73"/>
      <c r="E104" s="75"/>
      <c r="F104" s="75"/>
      <c r="G104" s="64" t="str">
        <f t="shared" si="28"/>
        <v/>
      </c>
      <c r="H104" s="73"/>
      <c r="I104" s="64" t="str">
        <f t="shared" si="29"/>
        <v/>
      </c>
      <c r="J104" s="74"/>
      <c r="K104" s="73"/>
      <c r="L104" s="73"/>
      <c r="M104" s="74"/>
      <c r="N104" s="73"/>
      <c r="O104" s="73"/>
      <c r="P104" s="73"/>
      <c r="Q104" s="68" t="str">
        <f t="shared" si="30"/>
        <v/>
      </c>
      <c r="R104" s="76"/>
      <c r="S104" s="77"/>
      <c r="T104" s="73"/>
      <c r="U104" s="64" t="str">
        <f t="shared" ca="1" si="31"/>
        <v/>
      </c>
      <c r="V104" s="64" t="str">
        <f t="shared" si="32"/>
        <v/>
      </c>
      <c r="W104" s="64" t="str">
        <f t="shared" si="33"/>
        <v/>
      </c>
      <c r="X104" s="64" t="str">
        <f>IF(E104="","",IF(AND(YEAR(E104)=Lịch!$T$2,ROUNDUP(MONTH(E104)/3,0)=Lịch!$W$2),MAX(X$6:X103)+1,""))</f>
        <v/>
      </c>
      <c r="Y104" s="74"/>
      <c r="Z104" s="71" t="str">
        <f t="shared" si="34"/>
        <v/>
      </c>
      <c r="AA104" s="72" t="str">
        <f t="shared" ca="1" si="35"/>
        <v/>
      </c>
    </row>
    <row r="105" spans="1:27" ht="18.75" customHeight="1" x14ac:dyDescent="0.25">
      <c r="A105" s="64" t="str">
        <f t="shared" si="27"/>
        <v/>
      </c>
      <c r="B105" s="65"/>
      <c r="C105" s="66"/>
      <c r="D105" s="65"/>
      <c r="E105" s="67"/>
      <c r="F105" s="67"/>
      <c r="G105" s="64" t="str">
        <f t="shared" si="28"/>
        <v/>
      </c>
      <c r="H105" s="65"/>
      <c r="I105" s="64" t="str">
        <f t="shared" si="29"/>
        <v/>
      </c>
      <c r="J105" s="66"/>
      <c r="K105" s="65"/>
      <c r="L105" s="65"/>
      <c r="M105" s="66"/>
      <c r="N105" s="65"/>
      <c r="O105" s="65"/>
      <c r="P105" s="65"/>
      <c r="Q105" s="68" t="str">
        <f t="shared" si="30"/>
        <v/>
      </c>
      <c r="R105" s="69"/>
      <c r="S105" s="70"/>
      <c r="T105" s="65"/>
      <c r="U105" s="64" t="str">
        <f t="shared" ca="1" si="31"/>
        <v/>
      </c>
      <c r="V105" s="64" t="str">
        <f t="shared" si="32"/>
        <v/>
      </c>
      <c r="W105" s="64" t="str">
        <f t="shared" si="33"/>
        <v/>
      </c>
      <c r="X105" s="64" t="str">
        <f>IF(E105="","",IF(AND(YEAR(E105)=Lịch!$T$2,ROUNDUP(MONTH(E105)/3,0)=Lịch!$W$2),MAX(X$6:X104)+1,""))</f>
        <v/>
      </c>
      <c r="Y105" s="66"/>
      <c r="Z105" s="71" t="str">
        <f t="shared" si="34"/>
        <v/>
      </c>
      <c r="AA105" s="72" t="str">
        <f t="shared" ca="1" si="35"/>
        <v/>
      </c>
    </row>
    <row r="106" spans="1:27" ht="18.75" customHeight="1" x14ac:dyDescent="0.25">
      <c r="A106" s="64" t="str">
        <f t="shared" si="27"/>
        <v/>
      </c>
      <c r="B106" s="73"/>
      <c r="C106" s="74"/>
      <c r="D106" s="73"/>
      <c r="E106" s="75"/>
      <c r="F106" s="75"/>
      <c r="G106" s="64" t="str">
        <f t="shared" si="28"/>
        <v/>
      </c>
      <c r="H106" s="73"/>
      <c r="I106" s="64" t="str">
        <f t="shared" si="29"/>
        <v/>
      </c>
      <c r="J106" s="74"/>
      <c r="K106" s="73"/>
      <c r="L106" s="73"/>
      <c r="M106" s="74"/>
      <c r="N106" s="73"/>
      <c r="O106" s="73"/>
      <c r="P106" s="73"/>
      <c r="Q106" s="68" t="str">
        <f t="shared" si="30"/>
        <v/>
      </c>
      <c r="R106" s="76"/>
      <c r="S106" s="77"/>
      <c r="T106" s="73"/>
      <c r="U106" s="64" t="str">
        <f t="shared" ca="1" si="31"/>
        <v/>
      </c>
      <c r="V106" s="64" t="str">
        <f t="shared" si="32"/>
        <v/>
      </c>
      <c r="W106" s="64" t="str">
        <f t="shared" si="33"/>
        <v/>
      </c>
      <c r="X106" s="64" t="str">
        <f>IF(E106="","",IF(AND(YEAR(E106)=Lịch!$T$2,ROUNDUP(MONTH(E106)/3,0)=Lịch!$W$2),MAX(X$6:X105)+1,""))</f>
        <v/>
      </c>
      <c r="Y106" s="74"/>
      <c r="Z106" s="71" t="str">
        <f t="shared" si="34"/>
        <v/>
      </c>
      <c r="AA106" s="72" t="str">
        <f t="shared" ca="1" si="35"/>
        <v/>
      </c>
    </row>
    <row r="107" spans="1:27" ht="18.75" customHeight="1" x14ac:dyDescent="0.25">
      <c r="A107" s="64" t="str">
        <f t="shared" si="27"/>
        <v/>
      </c>
      <c r="B107" s="65"/>
      <c r="C107" s="66"/>
      <c r="D107" s="65"/>
      <c r="E107" s="67"/>
      <c r="F107" s="67"/>
      <c r="G107" s="64" t="str">
        <f t="shared" si="28"/>
        <v/>
      </c>
      <c r="H107" s="65"/>
      <c r="I107" s="64" t="str">
        <f t="shared" si="29"/>
        <v/>
      </c>
      <c r="J107" s="66"/>
      <c r="K107" s="65"/>
      <c r="L107" s="65"/>
      <c r="M107" s="66"/>
      <c r="N107" s="65"/>
      <c r="O107" s="65"/>
      <c r="P107" s="65"/>
      <c r="Q107" s="68" t="str">
        <f t="shared" si="30"/>
        <v/>
      </c>
      <c r="R107" s="69"/>
      <c r="S107" s="70"/>
      <c r="T107" s="65"/>
      <c r="U107" s="64" t="str">
        <f t="shared" ca="1" si="31"/>
        <v/>
      </c>
      <c r="V107" s="64" t="str">
        <f t="shared" si="32"/>
        <v/>
      </c>
      <c r="W107" s="64" t="str">
        <f t="shared" si="33"/>
        <v/>
      </c>
      <c r="X107" s="64" t="str">
        <f>IF(E107="","",IF(AND(YEAR(E107)=Lịch!$T$2,ROUNDUP(MONTH(E107)/3,0)=Lịch!$W$2),MAX(X$6:X106)+1,""))</f>
        <v/>
      </c>
      <c r="Y107" s="66"/>
      <c r="Z107" s="71" t="str">
        <f t="shared" si="34"/>
        <v/>
      </c>
      <c r="AA107" s="72" t="str">
        <f t="shared" ca="1" si="35"/>
        <v/>
      </c>
    </row>
    <row r="108" spans="1:27" ht="18.75" customHeight="1" x14ac:dyDescent="0.25">
      <c r="A108" s="64" t="str">
        <f t="shared" si="27"/>
        <v/>
      </c>
      <c r="B108" s="73"/>
      <c r="C108" s="74"/>
      <c r="D108" s="73"/>
      <c r="E108" s="75"/>
      <c r="F108" s="75"/>
      <c r="G108" s="64" t="str">
        <f t="shared" si="28"/>
        <v/>
      </c>
      <c r="H108" s="73"/>
      <c r="I108" s="64" t="str">
        <f t="shared" si="29"/>
        <v/>
      </c>
      <c r="J108" s="74"/>
      <c r="K108" s="73"/>
      <c r="L108" s="73"/>
      <c r="M108" s="74"/>
      <c r="N108" s="73"/>
      <c r="O108" s="73"/>
      <c r="P108" s="73"/>
      <c r="Q108" s="68" t="str">
        <f t="shared" si="30"/>
        <v/>
      </c>
      <c r="R108" s="76"/>
      <c r="S108" s="77"/>
      <c r="T108" s="73"/>
      <c r="U108" s="64" t="str">
        <f t="shared" ca="1" si="31"/>
        <v/>
      </c>
      <c r="V108" s="64" t="str">
        <f t="shared" si="32"/>
        <v/>
      </c>
      <c r="W108" s="64" t="str">
        <f t="shared" si="33"/>
        <v/>
      </c>
      <c r="X108" s="64" t="str">
        <f>IF(E108="","",IF(AND(YEAR(E108)=Lịch!$T$2,ROUNDUP(MONTH(E108)/3,0)=Lịch!$W$2),MAX(X$6:X107)+1,""))</f>
        <v/>
      </c>
      <c r="Y108" s="74"/>
      <c r="Z108" s="71" t="str">
        <f t="shared" si="34"/>
        <v/>
      </c>
      <c r="AA108" s="72" t="str">
        <f t="shared" ca="1" si="35"/>
        <v/>
      </c>
    </row>
    <row r="109" spans="1:27" ht="18.75" customHeight="1" x14ac:dyDescent="0.25">
      <c r="A109" s="64" t="str">
        <f t="shared" si="27"/>
        <v/>
      </c>
      <c r="B109" s="65"/>
      <c r="C109" s="66"/>
      <c r="D109" s="65"/>
      <c r="E109" s="67"/>
      <c r="F109" s="67"/>
      <c r="G109" s="64" t="str">
        <f t="shared" si="28"/>
        <v/>
      </c>
      <c r="H109" s="65"/>
      <c r="I109" s="64" t="str">
        <f t="shared" si="29"/>
        <v/>
      </c>
      <c r="J109" s="66"/>
      <c r="K109" s="65"/>
      <c r="L109" s="65"/>
      <c r="M109" s="66"/>
      <c r="N109" s="65"/>
      <c r="O109" s="65"/>
      <c r="P109" s="65"/>
      <c r="Q109" s="68" t="str">
        <f t="shared" si="30"/>
        <v/>
      </c>
      <c r="R109" s="69"/>
      <c r="S109" s="70"/>
      <c r="T109" s="65"/>
      <c r="U109" s="64" t="str">
        <f t="shared" ca="1" si="31"/>
        <v/>
      </c>
      <c r="V109" s="64" t="str">
        <f t="shared" si="32"/>
        <v/>
      </c>
      <c r="W109" s="64" t="str">
        <f t="shared" si="33"/>
        <v/>
      </c>
      <c r="X109" s="64" t="str">
        <f>IF(E109="","",IF(AND(YEAR(E109)=Lịch!$T$2,ROUNDUP(MONTH(E109)/3,0)=Lịch!$W$2),MAX(X$6:X108)+1,""))</f>
        <v/>
      </c>
      <c r="Y109" s="66"/>
      <c r="Z109" s="71" t="str">
        <f t="shared" si="34"/>
        <v/>
      </c>
      <c r="AA109" s="72" t="str">
        <f t="shared" ca="1" si="35"/>
        <v/>
      </c>
    </row>
    <row r="110" spans="1:27" ht="18.75" customHeight="1" x14ac:dyDescent="0.25">
      <c r="A110" s="64" t="str">
        <f t="shared" si="27"/>
        <v/>
      </c>
      <c r="B110" s="73"/>
      <c r="C110" s="74"/>
      <c r="D110" s="73"/>
      <c r="E110" s="75"/>
      <c r="F110" s="75"/>
      <c r="G110" s="64" t="str">
        <f t="shared" si="28"/>
        <v/>
      </c>
      <c r="H110" s="73"/>
      <c r="I110" s="64" t="str">
        <f t="shared" si="29"/>
        <v/>
      </c>
      <c r="J110" s="74"/>
      <c r="K110" s="73"/>
      <c r="L110" s="73"/>
      <c r="M110" s="74"/>
      <c r="N110" s="73"/>
      <c r="O110" s="73"/>
      <c r="P110" s="73"/>
      <c r="Q110" s="68" t="str">
        <f t="shared" si="30"/>
        <v/>
      </c>
      <c r="R110" s="76"/>
      <c r="S110" s="77"/>
      <c r="T110" s="73"/>
      <c r="U110" s="64" t="str">
        <f t="shared" ca="1" si="31"/>
        <v/>
      </c>
      <c r="V110" s="64" t="str">
        <f t="shared" si="32"/>
        <v/>
      </c>
      <c r="W110" s="64" t="str">
        <f t="shared" si="33"/>
        <v/>
      </c>
      <c r="X110" s="64" t="str">
        <f>IF(E110="","",IF(AND(YEAR(E110)=Lịch!$T$2,ROUNDUP(MONTH(E110)/3,0)=Lịch!$W$2),MAX(X$6:X109)+1,""))</f>
        <v/>
      </c>
      <c r="Y110" s="74"/>
      <c r="Z110" s="71" t="str">
        <f t="shared" si="34"/>
        <v/>
      </c>
      <c r="AA110" s="72" t="str">
        <f t="shared" ca="1" si="35"/>
        <v/>
      </c>
    </row>
    <row r="111" spans="1:27" ht="18.75" customHeight="1" x14ac:dyDescent="0.25">
      <c r="A111" s="64" t="str">
        <f t="shared" si="27"/>
        <v/>
      </c>
      <c r="B111" s="65"/>
      <c r="C111" s="66"/>
      <c r="D111" s="65"/>
      <c r="E111" s="67"/>
      <c r="F111" s="67"/>
      <c r="G111" s="64" t="str">
        <f t="shared" si="28"/>
        <v/>
      </c>
      <c r="H111" s="65"/>
      <c r="I111" s="64" t="str">
        <f t="shared" si="29"/>
        <v/>
      </c>
      <c r="J111" s="66"/>
      <c r="K111" s="65"/>
      <c r="L111" s="65"/>
      <c r="M111" s="66"/>
      <c r="N111" s="65"/>
      <c r="O111" s="65"/>
      <c r="P111" s="65"/>
      <c r="Q111" s="68" t="str">
        <f t="shared" si="30"/>
        <v/>
      </c>
      <c r="R111" s="69"/>
      <c r="S111" s="70"/>
      <c r="T111" s="65"/>
      <c r="U111" s="64" t="str">
        <f t="shared" ca="1" si="31"/>
        <v/>
      </c>
      <c r="V111" s="64" t="str">
        <f t="shared" si="32"/>
        <v/>
      </c>
      <c r="W111" s="64" t="str">
        <f t="shared" si="33"/>
        <v/>
      </c>
      <c r="X111" s="64" t="str">
        <f>IF(E111="","",IF(AND(YEAR(E111)=Lịch!$T$2,ROUNDUP(MONTH(E111)/3,0)=Lịch!$W$2),MAX(X$6:X110)+1,""))</f>
        <v/>
      </c>
      <c r="Y111" s="66"/>
      <c r="Z111" s="71" t="str">
        <f t="shared" si="34"/>
        <v/>
      </c>
      <c r="AA111" s="72" t="str">
        <f t="shared" ca="1" si="35"/>
        <v/>
      </c>
    </row>
    <row r="112" spans="1:27" ht="18.75" customHeight="1" x14ac:dyDescent="0.25">
      <c r="A112" s="64" t="str">
        <f t="shared" si="27"/>
        <v/>
      </c>
      <c r="B112" s="73"/>
      <c r="C112" s="74"/>
      <c r="D112" s="73"/>
      <c r="E112" s="75"/>
      <c r="F112" s="75"/>
      <c r="G112" s="64" t="str">
        <f t="shared" si="28"/>
        <v/>
      </c>
      <c r="H112" s="73"/>
      <c r="I112" s="64" t="str">
        <f t="shared" si="29"/>
        <v/>
      </c>
      <c r="J112" s="74"/>
      <c r="K112" s="73"/>
      <c r="L112" s="73"/>
      <c r="M112" s="74"/>
      <c r="N112" s="73"/>
      <c r="O112" s="73"/>
      <c r="P112" s="73"/>
      <c r="Q112" s="68" t="str">
        <f t="shared" si="30"/>
        <v/>
      </c>
      <c r="R112" s="76"/>
      <c r="S112" s="77"/>
      <c r="T112" s="73"/>
      <c r="U112" s="64" t="str">
        <f t="shared" ca="1" si="31"/>
        <v/>
      </c>
      <c r="V112" s="64" t="str">
        <f t="shared" si="32"/>
        <v/>
      </c>
      <c r="W112" s="64" t="str">
        <f t="shared" si="33"/>
        <v/>
      </c>
      <c r="X112" s="64" t="str">
        <f>IF(E112="","",IF(AND(YEAR(E112)=Lịch!$T$2,ROUNDUP(MONTH(E112)/3,0)=Lịch!$W$2),MAX(X$6:X111)+1,""))</f>
        <v/>
      </c>
      <c r="Y112" s="74"/>
      <c r="Z112" s="71" t="str">
        <f t="shared" si="34"/>
        <v/>
      </c>
      <c r="AA112" s="72" t="str">
        <f t="shared" ca="1" si="35"/>
        <v/>
      </c>
    </row>
    <row r="113" spans="1:27" ht="18.75" customHeight="1" x14ac:dyDescent="0.25">
      <c r="A113" s="64" t="str">
        <f t="shared" si="27"/>
        <v/>
      </c>
      <c r="B113" s="65"/>
      <c r="C113" s="66"/>
      <c r="D113" s="65"/>
      <c r="E113" s="67"/>
      <c r="F113" s="67"/>
      <c r="G113" s="64" t="str">
        <f t="shared" si="28"/>
        <v/>
      </c>
      <c r="H113" s="65"/>
      <c r="I113" s="64" t="str">
        <f t="shared" si="29"/>
        <v/>
      </c>
      <c r="J113" s="66"/>
      <c r="K113" s="65"/>
      <c r="L113" s="65"/>
      <c r="M113" s="66"/>
      <c r="N113" s="65"/>
      <c r="O113" s="65"/>
      <c r="P113" s="65"/>
      <c r="Q113" s="68" t="str">
        <f t="shared" si="30"/>
        <v/>
      </c>
      <c r="R113" s="69"/>
      <c r="S113" s="70"/>
      <c r="T113" s="65"/>
      <c r="U113" s="64" t="str">
        <f t="shared" ca="1" si="31"/>
        <v/>
      </c>
      <c r="V113" s="64" t="str">
        <f t="shared" si="32"/>
        <v/>
      </c>
      <c r="W113" s="64" t="str">
        <f t="shared" si="33"/>
        <v/>
      </c>
      <c r="X113" s="64" t="str">
        <f>IF(E113="","",IF(AND(YEAR(E113)=Lịch!$T$2,ROUNDUP(MONTH(E113)/3,0)=Lịch!$W$2),MAX(X$6:X112)+1,""))</f>
        <v/>
      </c>
      <c r="Y113" s="66"/>
      <c r="Z113" s="71" t="str">
        <f t="shared" si="34"/>
        <v/>
      </c>
      <c r="AA113" s="72" t="str">
        <f t="shared" ca="1" si="35"/>
        <v/>
      </c>
    </row>
    <row r="114" spans="1:27" ht="18.75" customHeight="1" x14ac:dyDescent="0.25">
      <c r="A114" s="64" t="str">
        <f t="shared" si="27"/>
        <v/>
      </c>
      <c r="B114" s="73"/>
      <c r="C114" s="74"/>
      <c r="D114" s="73"/>
      <c r="E114" s="75"/>
      <c r="F114" s="75"/>
      <c r="G114" s="64" t="str">
        <f t="shared" si="28"/>
        <v/>
      </c>
      <c r="H114" s="73"/>
      <c r="I114" s="64" t="str">
        <f t="shared" si="29"/>
        <v/>
      </c>
      <c r="J114" s="74"/>
      <c r="K114" s="73"/>
      <c r="L114" s="73"/>
      <c r="M114" s="74"/>
      <c r="N114" s="73"/>
      <c r="O114" s="73"/>
      <c r="P114" s="73"/>
      <c r="Q114" s="68" t="str">
        <f t="shared" si="30"/>
        <v/>
      </c>
      <c r="R114" s="76"/>
      <c r="S114" s="77"/>
      <c r="T114" s="73"/>
      <c r="U114" s="64" t="str">
        <f t="shared" ca="1" si="31"/>
        <v/>
      </c>
      <c r="V114" s="64" t="str">
        <f t="shared" si="32"/>
        <v/>
      </c>
      <c r="W114" s="64" t="str">
        <f t="shared" si="33"/>
        <v/>
      </c>
      <c r="X114" s="64" t="str">
        <f>IF(E114="","",IF(AND(YEAR(E114)=Lịch!$T$2,ROUNDUP(MONTH(E114)/3,0)=Lịch!$W$2),MAX(X$6:X113)+1,""))</f>
        <v/>
      </c>
      <c r="Y114" s="74"/>
      <c r="Z114" s="71" t="str">
        <f t="shared" si="34"/>
        <v/>
      </c>
      <c r="AA114" s="72" t="str">
        <f t="shared" ca="1" si="35"/>
        <v/>
      </c>
    </row>
    <row r="115" spans="1:27" ht="18.75" customHeight="1" x14ac:dyDescent="0.25">
      <c r="A115" s="64" t="str">
        <f t="shared" si="27"/>
        <v/>
      </c>
      <c r="B115" s="65"/>
      <c r="C115" s="66"/>
      <c r="D115" s="65"/>
      <c r="E115" s="67"/>
      <c r="F115" s="67"/>
      <c r="G115" s="64" t="str">
        <f t="shared" si="28"/>
        <v/>
      </c>
      <c r="H115" s="65"/>
      <c r="I115" s="64" t="str">
        <f t="shared" si="29"/>
        <v/>
      </c>
      <c r="J115" s="66"/>
      <c r="K115" s="65"/>
      <c r="L115" s="65"/>
      <c r="M115" s="66"/>
      <c r="N115" s="65"/>
      <c r="O115" s="65"/>
      <c r="P115" s="65"/>
      <c r="Q115" s="68" t="str">
        <f t="shared" si="30"/>
        <v/>
      </c>
      <c r="R115" s="69"/>
      <c r="S115" s="70"/>
      <c r="T115" s="65"/>
      <c r="U115" s="64" t="str">
        <f t="shared" ca="1" si="31"/>
        <v/>
      </c>
      <c r="V115" s="64" t="str">
        <f t="shared" si="32"/>
        <v/>
      </c>
      <c r="W115" s="64" t="str">
        <f t="shared" si="33"/>
        <v/>
      </c>
      <c r="X115" s="64" t="str">
        <f>IF(E115="","",IF(AND(YEAR(E115)=Lịch!$T$2,ROUNDUP(MONTH(E115)/3,0)=Lịch!$W$2),MAX(X$6:X114)+1,""))</f>
        <v/>
      </c>
      <c r="Y115" s="66"/>
      <c r="Z115" s="71" t="str">
        <f t="shared" si="34"/>
        <v/>
      </c>
      <c r="AA115" s="72" t="str">
        <f t="shared" ca="1" si="35"/>
        <v/>
      </c>
    </row>
    <row r="116" spans="1:27" ht="18.75" customHeight="1" x14ac:dyDescent="0.25">
      <c r="A116" s="64" t="str">
        <f t="shared" si="27"/>
        <v/>
      </c>
      <c r="B116" s="73"/>
      <c r="C116" s="74"/>
      <c r="D116" s="73"/>
      <c r="E116" s="75"/>
      <c r="F116" s="75"/>
      <c r="G116" s="64" t="str">
        <f t="shared" si="28"/>
        <v/>
      </c>
      <c r="H116" s="73"/>
      <c r="I116" s="64" t="str">
        <f t="shared" si="29"/>
        <v/>
      </c>
      <c r="J116" s="74"/>
      <c r="K116" s="73"/>
      <c r="L116" s="73"/>
      <c r="M116" s="74"/>
      <c r="N116" s="73"/>
      <c r="O116" s="73"/>
      <c r="P116" s="73"/>
      <c r="Q116" s="68" t="str">
        <f t="shared" si="30"/>
        <v/>
      </c>
      <c r="R116" s="76"/>
      <c r="S116" s="77"/>
      <c r="T116" s="73"/>
      <c r="U116" s="64" t="str">
        <f t="shared" ca="1" si="31"/>
        <v/>
      </c>
      <c r="V116" s="64" t="str">
        <f t="shared" si="32"/>
        <v/>
      </c>
      <c r="W116" s="64" t="str">
        <f t="shared" si="33"/>
        <v/>
      </c>
      <c r="X116" s="64" t="str">
        <f>IF(E116="","",IF(AND(YEAR(E116)=Lịch!$T$2,ROUNDUP(MONTH(E116)/3,0)=Lịch!$W$2),MAX(X$6:X115)+1,""))</f>
        <v/>
      </c>
      <c r="Y116" s="74"/>
      <c r="Z116" s="71" t="str">
        <f t="shared" si="34"/>
        <v/>
      </c>
      <c r="AA116" s="72" t="str">
        <f t="shared" ca="1" si="35"/>
        <v/>
      </c>
    </row>
    <row r="117" spans="1:27" ht="18.75" customHeight="1" x14ac:dyDescent="0.25">
      <c r="A117" s="64" t="str">
        <f t="shared" si="27"/>
        <v/>
      </c>
      <c r="B117" s="65"/>
      <c r="C117" s="66"/>
      <c r="D117" s="65"/>
      <c r="E117" s="67"/>
      <c r="F117" s="67"/>
      <c r="G117" s="64" t="str">
        <f t="shared" si="28"/>
        <v/>
      </c>
      <c r="H117" s="65"/>
      <c r="I117" s="64" t="str">
        <f t="shared" si="29"/>
        <v/>
      </c>
      <c r="J117" s="66"/>
      <c r="K117" s="65"/>
      <c r="L117" s="65"/>
      <c r="M117" s="66"/>
      <c r="N117" s="65"/>
      <c r="O117" s="65"/>
      <c r="P117" s="65"/>
      <c r="Q117" s="68" t="str">
        <f t="shared" si="30"/>
        <v/>
      </c>
      <c r="R117" s="69"/>
      <c r="S117" s="70"/>
      <c r="T117" s="65"/>
      <c r="U117" s="64" t="str">
        <f t="shared" ca="1" si="31"/>
        <v/>
      </c>
      <c r="V117" s="64" t="str">
        <f t="shared" si="32"/>
        <v/>
      </c>
      <c r="W117" s="64" t="str">
        <f t="shared" si="33"/>
        <v/>
      </c>
      <c r="X117" s="64" t="str">
        <f>IF(E117="","",IF(AND(YEAR(E117)=Lịch!$T$2,ROUNDUP(MONTH(E117)/3,0)=Lịch!$W$2),MAX(X$6:X116)+1,""))</f>
        <v/>
      </c>
      <c r="Y117" s="66"/>
      <c r="Z117" s="71" t="str">
        <f t="shared" si="34"/>
        <v/>
      </c>
      <c r="AA117" s="72" t="str">
        <f t="shared" ca="1" si="35"/>
        <v/>
      </c>
    </row>
    <row r="118" spans="1:27" ht="18.75" customHeight="1" x14ac:dyDescent="0.25">
      <c r="A118" s="64" t="str">
        <f t="shared" si="27"/>
        <v/>
      </c>
      <c r="B118" s="73"/>
      <c r="C118" s="74"/>
      <c r="D118" s="73"/>
      <c r="E118" s="75"/>
      <c r="F118" s="75"/>
      <c r="G118" s="64" t="str">
        <f t="shared" si="28"/>
        <v/>
      </c>
      <c r="H118" s="73"/>
      <c r="I118" s="64" t="str">
        <f t="shared" si="29"/>
        <v/>
      </c>
      <c r="J118" s="74"/>
      <c r="K118" s="73"/>
      <c r="L118" s="73"/>
      <c r="M118" s="74"/>
      <c r="N118" s="73"/>
      <c r="O118" s="73"/>
      <c r="P118" s="73"/>
      <c r="Q118" s="68" t="str">
        <f t="shared" si="30"/>
        <v/>
      </c>
      <c r="R118" s="76"/>
      <c r="S118" s="77"/>
      <c r="T118" s="73"/>
      <c r="U118" s="64" t="str">
        <f t="shared" ca="1" si="31"/>
        <v/>
      </c>
      <c r="V118" s="64" t="str">
        <f t="shared" si="32"/>
        <v/>
      </c>
      <c r="W118" s="64" t="str">
        <f t="shared" si="33"/>
        <v/>
      </c>
      <c r="X118" s="64" t="str">
        <f>IF(E118="","",IF(AND(YEAR(E118)=Lịch!$T$2,ROUNDUP(MONTH(E118)/3,0)=Lịch!$W$2),MAX(X$6:X117)+1,""))</f>
        <v/>
      </c>
      <c r="Y118" s="74"/>
      <c r="Z118" s="71" t="str">
        <f t="shared" si="34"/>
        <v/>
      </c>
      <c r="AA118" s="72" t="str">
        <f t="shared" ca="1" si="35"/>
        <v/>
      </c>
    </row>
    <row r="119" spans="1:27" ht="18.75" customHeight="1" x14ac:dyDescent="0.25">
      <c r="A119" s="64" t="str">
        <f t="shared" si="27"/>
        <v/>
      </c>
      <c r="B119" s="65"/>
      <c r="C119" s="66"/>
      <c r="D119" s="65"/>
      <c r="E119" s="67"/>
      <c r="F119" s="67"/>
      <c r="G119" s="64" t="str">
        <f t="shared" si="28"/>
        <v/>
      </c>
      <c r="H119" s="65"/>
      <c r="I119" s="64" t="str">
        <f t="shared" si="29"/>
        <v/>
      </c>
      <c r="J119" s="66"/>
      <c r="K119" s="65"/>
      <c r="L119" s="65"/>
      <c r="M119" s="66"/>
      <c r="N119" s="65"/>
      <c r="O119" s="65"/>
      <c r="P119" s="65"/>
      <c r="Q119" s="68" t="str">
        <f t="shared" si="30"/>
        <v/>
      </c>
      <c r="R119" s="69"/>
      <c r="S119" s="70"/>
      <c r="T119" s="65"/>
      <c r="U119" s="64" t="str">
        <f t="shared" ca="1" si="31"/>
        <v/>
      </c>
      <c r="V119" s="64" t="str">
        <f t="shared" si="32"/>
        <v/>
      </c>
      <c r="W119" s="64" t="str">
        <f t="shared" si="33"/>
        <v/>
      </c>
      <c r="X119" s="64" t="str">
        <f>IF(E119="","",IF(AND(YEAR(E119)=Lịch!$T$2,ROUNDUP(MONTH(E119)/3,0)=Lịch!$W$2),MAX(X$6:X118)+1,""))</f>
        <v/>
      </c>
      <c r="Y119" s="66"/>
      <c r="Z119" s="71" t="str">
        <f t="shared" si="34"/>
        <v/>
      </c>
      <c r="AA119" s="72" t="str">
        <f t="shared" ca="1" si="35"/>
        <v/>
      </c>
    </row>
    <row r="120" spans="1:27" ht="18.75" customHeight="1" x14ac:dyDescent="0.25">
      <c r="A120" s="64" t="str">
        <f t="shared" si="27"/>
        <v/>
      </c>
      <c r="B120" s="73"/>
      <c r="C120" s="74"/>
      <c r="D120" s="73"/>
      <c r="E120" s="75"/>
      <c r="F120" s="75"/>
      <c r="G120" s="64" t="str">
        <f t="shared" si="28"/>
        <v/>
      </c>
      <c r="H120" s="73"/>
      <c r="I120" s="64" t="str">
        <f t="shared" si="29"/>
        <v/>
      </c>
      <c r="J120" s="74"/>
      <c r="K120" s="73"/>
      <c r="L120" s="73"/>
      <c r="M120" s="74"/>
      <c r="N120" s="73"/>
      <c r="O120" s="73"/>
      <c r="P120" s="73"/>
      <c r="Q120" s="68" t="str">
        <f t="shared" si="30"/>
        <v/>
      </c>
      <c r="R120" s="76"/>
      <c r="S120" s="77"/>
      <c r="T120" s="73"/>
      <c r="U120" s="64" t="str">
        <f t="shared" ca="1" si="31"/>
        <v/>
      </c>
      <c r="V120" s="64" t="str">
        <f t="shared" si="32"/>
        <v/>
      </c>
      <c r="W120" s="64" t="str">
        <f t="shared" si="33"/>
        <v/>
      </c>
      <c r="X120" s="64" t="str">
        <f>IF(E120="","",IF(AND(YEAR(E120)=Lịch!$T$2,ROUNDUP(MONTH(E120)/3,0)=Lịch!$W$2),MAX(X$6:X119)+1,""))</f>
        <v/>
      </c>
      <c r="Y120" s="74"/>
      <c r="Z120" s="71" t="str">
        <f t="shared" si="34"/>
        <v/>
      </c>
      <c r="AA120" s="72" t="str">
        <f t="shared" ca="1" si="35"/>
        <v/>
      </c>
    </row>
    <row r="121" spans="1:27" ht="18.75" customHeight="1" x14ac:dyDescent="0.25">
      <c r="A121" s="64" t="str">
        <f t="shared" si="27"/>
        <v/>
      </c>
      <c r="B121" s="65"/>
      <c r="C121" s="66"/>
      <c r="D121" s="65"/>
      <c r="E121" s="67"/>
      <c r="F121" s="67"/>
      <c r="G121" s="64" t="str">
        <f t="shared" si="28"/>
        <v/>
      </c>
      <c r="H121" s="65"/>
      <c r="I121" s="64" t="str">
        <f t="shared" si="29"/>
        <v/>
      </c>
      <c r="J121" s="66"/>
      <c r="K121" s="65"/>
      <c r="L121" s="65"/>
      <c r="M121" s="66"/>
      <c r="N121" s="65"/>
      <c r="O121" s="65"/>
      <c r="P121" s="65"/>
      <c r="Q121" s="68" t="str">
        <f t="shared" si="30"/>
        <v/>
      </c>
      <c r="R121" s="69"/>
      <c r="S121" s="70"/>
      <c r="T121" s="65"/>
      <c r="U121" s="64" t="str">
        <f t="shared" ca="1" si="31"/>
        <v/>
      </c>
      <c r="V121" s="64" t="str">
        <f t="shared" si="32"/>
        <v/>
      </c>
      <c r="W121" s="64" t="str">
        <f t="shared" si="33"/>
        <v/>
      </c>
      <c r="X121" s="64" t="str">
        <f>IF(E121="","",IF(AND(YEAR(E121)=Lịch!$T$2,ROUNDUP(MONTH(E121)/3,0)=Lịch!$W$2),MAX(X$6:X120)+1,""))</f>
        <v/>
      </c>
      <c r="Y121" s="66"/>
      <c r="Z121" s="71" t="str">
        <f t="shared" si="34"/>
        <v/>
      </c>
      <c r="AA121" s="72" t="str">
        <f t="shared" ca="1" si="35"/>
        <v/>
      </c>
    </row>
    <row r="122" spans="1:27" ht="18.75" customHeight="1" x14ac:dyDescent="0.25">
      <c r="A122" s="64" t="str">
        <f t="shared" si="27"/>
        <v/>
      </c>
      <c r="B122" s="73"/>
      <c r="C122" s="74"/>
      <c r="D122" s="73"/>
      <c r="E122" s="75"/>
      <c r="F122" s="75"/>
      <c r="G122" s="64" t="str">
        <f t="shared" si="28"/>
        <v/>
      </c>
      <c r="H122" s="73"/>
      <c r="I122" s="64" t="str">
        <f t="shared" si="29"/>
        <v/>
      </c>
      <c r="J122" s="74"/>
      <c r="K122" s="73"/>
      <c r="L122" s="73"/>
      <c r="M122" s="74"/>
      <c r="N122" s="73"/>
      <c r="O122" s="73"/>
      <c r="P122" s="73"/>
      <c r="Q122" s="68" t="str">
        <f t="shared" si="30"/>
        <v/>
      </c>
      <c r="R122" s="76"/>
      <c r="S122" s="77"/>
      <c r="T122" s="73"/>
      <c r="U122" s="64" t="str">
        <f t="shared" ca="1" si="31"/>
        <v/>
      </c>
      <c r="V122" s="64" t="str">
        <f t="shared" si="32"/>
        <v/>
      </c>
      <c r="W122" s="64" t="str">
        <f t="shared" si="33"/>
        <v/>
      </c>
      <c r="X122" s="64" t="str">
        <f>IF(E122="","",IF(AND(YEAR(E122)=Lịch!$T$2,ROUNDUP(MONTH(E122)/3,0)=Lịch!$W$2),MAX(X$6:X121)+1,""))</f>
        <v/>
      </c>
      <c r="Y122" s="74"/>
      <c r="Z122" s="71" t="str">
        <f t="shared" si="34"/>
        <v/>
      </c>
      <c r="AA122" s="72" t="str">
        <f t="shared" ca="1" si="35"/>
        <v/>
      </c>
    </row>
    <row r="123" spans="1:27" ht="18.75" customHeight="1" x14ac:dyDescent="0.25">
      <c r="A123" s="64" t="str">
        <f t="shared" si="27"/>
        <v/>
      </c>
      <c r="B123" s="65"/>
      <c r="C123" s="66"/>
      <c r="D123" s="65"/>
      <c r="E123" s="67"/>
      <c r="F123" s="67"/>
      <c r="G123" s="64" t="str">
        <f t="shared" si="28"/>
        <v/>
      </c>
      <c r="H123" s="65"/>
      <c r="I123" s="64" t="str">
        <f t="shared" si="29"/>
        <v/>
      </c>
      <c r="J123" s="66"/>
      <c r="K123" s="65"/>
      <c r="L123" s="65"/>
      <c r="M123" s="66"/>
      <c r="N123" s="65"/>
      <c r="O123" s="65"/>
      <c r="P123" s="65"/>
      <c r="Q123" s="68" t="str">
        <f t="shared" si="30"/>
        <v/>
      </c>
      <c r="R123" s="69"/>
      <c r="S123" s="70"/>
      <c r="T123" s="65"/>
      <c r="U123" s="64" t="str">
        <f t="shared" ca="1" si="31"/>
        <v/>
      </c>
      <c r="V123" s="64" t="str">
        <f t="shared" si="32"/>
        <v/>
      </c>
      <c r="W123" s="64" t="str">
        <f t="shared" si="33"/>
        <v/>
      </c>
      <c r="X123" s="64" t="str">
        <f>IF(E123="","",IF(AND(YEAR(E123)=Lịch!$T$2,ROUNDUP(MONTH(E123)/3,0)=Lịch!$W$2),MAX(X$6:X122)+1,""))</f>
        <v/>
      </c>
      <c r="Y123" s="66"/>
      <c r="Z123" s="71" t="str">
        <f t="shared" si="34"/>
        <v/>
      </c>
      <c r="AA123" s="72" t="str">
        <f t="shared" ca="1" si="35"/>
        <v/>
      </c>
    </row>
    <row r="124" spans="1:27" ht="18.75" customHeight="1" x14ac:dyDescent="0.25">
      <c r="A124" s="64" t="str">
        <f t="shared" si="27"/>
        <v/>
      </c>
      <c r="B124" s="73"/>
      <c r="C124" s="74"/>
      <c r="D124" s="73"/>
      <c r="E124" s="75"/>
      <c r="F124" s="75"/>
      <c r="G124" s="64" t="str">
        <f t="shared" si="28"/>
        <v/>
      </c>
      <c r="H124" s="73"/>
      <c r="I124" s="64" t="str">
        <f t="shared" si="29"/>
        <v/>
      </c>
      <c r="J124" s="74"/>
      <c r="K124" s="73"/>
      <c r="L124" s="73"/>
      <c r="M124" s="74"/>
      <c r="N124" s="73"/>
      <c r="O124" s="73"/>
      <c r="P124" s="73"/>
      <c r="Q124" s="68" t="str">
        <f t="shared" si="30"/>
        <v/>
      </c>
      <c r="R124" s="76"/>
      <c r="S124" s="77"/>
      <c r="T124" s="73"/>
      <c r="U124" s="64" t="str">
        <f t="shared" ca="1" si="31"/>
        <v/>
      </c>
      <c r="V124" s="64" t="str">
        <f t="shared" si="32"/>
        <v/>
      </c>
      <c r="W124" s="64" t="str">
        <f t="shared" si="33"/>
        <v/>
      </c>
      <c r="X124" s="64" t="str">
        <f>IF(E124="","",IF(AND(YEAR(E124)=Lịch!$T$2,ROUNDUP(MONTH(E124)/3,0)=Lịch!$W$2),MAX(X$6:X123)+1,""))</f>
        <v/>
      </c>
      <c r="Y124" s="74"/>
      <c r="Z124" s="71" t="str">
        <f t="shared" si="34"/>
        <v/>
      </c>
      <c r="AA124" s="72" t="str">
        <f t="shared" ca="1" si="35"/>
        <v/>
      </c>
    </row>
    <row r="125" spans="1:27" ht="18.75" customHeight="1" x14ac:dyDescent="0.25">
      <c r="A125" s="64" t="str">
        <f t="shared" si="27"/>
        <v/>
      </c>
      <c r="B125" s="65"/>
      <c r="C125" s="66"/>
      <c r="D125" s="65"/>
      <c r="E125" s="67"/>
      <c r="F125" s="67"/>
      <c r="G125" s="64" t="str">
        <f t="shared" si="28"/>
        <v/>
      </c>
      <c r="H125" s="65"/>
      <c r="I125" s="64" t="str">
        <f t="shared" si="29"/>
        <v/>
      </c>
      <c r="J125" s="66"/>
      <c r="K125" s="65"/>
      <c r="L125" s="65"/>
      <c r="M125" s="66"/>
      <c r="N125" s="65"/>
      <c r="O125" s="65"/>
      <c r="P125" s="65"/>
      <c r="Q125" s="68" t="str">
        <f t="shared" si="30"/>
        <v/>
      </c>
      <c r="R125" s="69"/>
      <c r="S125" s="70"/>
      <c r="T125" s="65"/>
      <c r="U125" s="64" t="str">
        <f t="shared" ca="1" si="31"/>
        <v/>
      </c>
      <c r="V125" s="64" t="str">
        <f t="shared" si="32"/>
        <v/>
      </c>
      <c r="W125" s="64" t="str">
        <f t="shared" si="33"/>
        <v/>
      </c>
      <c r="X125" s="64" t="str">
        <f>IF(E125="","",IF(AND(YEAR(E125)=Lịch!$T$2,ROUNDUP(MONTH(E125)/3,0)=Lịch!$W$2),MAX(X$6:X124)+1,""))</f>
        <v/>
      </c>
      <c r="Y125" s="66"/>
      <c r="Z125" s="71" t="str">
        <f t="shared" si="34"/>
        <v/>
      </c>
      <c r="AA125" s="72" t="str">
        <f t="shared" ca="1" si="35"/>
        <v/>
      </c>
    </row>
    <row r="126" spans="1:27" ht="18.75" customHeight="1" x14ac:dyDescent="0.25">
      <c r="A126" s="64" t="str">
        <f t="shared" si="27"/>
        <v/>
      </c>
      <c r="B126" s="73"/>
      <c r="C126" s="74"/>
      <c r="D126" s="73"/>
      <c r="E126" s="75"/>
      <c r="F126" s="75"/>
      <c r="G126" s="64" t="str">
        <f t="shared" si="28"/>
        <v/>
      </c>
      <c r="H126" s="73"/>
      <c r="I126" s="64" t="str">
        <f t="shared" si="29"/>
        <v/>
      </c>
      <c r="J126" s="74"/>
      <c r="K126" s="73"/>
      <c r="L126" s="73"/>
      <c r="M126" s="74"/>
      <c r="N126" s="73"/>
      <c r="O126" s="73"/>
      <c r="P126" s="73"/>
      <c r="Q126" s="68" t="str">
        <f t="shared" si="30"/>
        <v/>
      </c>
      <c r="R126" s="76"/>
      <c r="S126" s="77"/>
      <c r="T126" s="73"/>
      <c r="U126" s="64" t="str">
        <f t="shared" ca="1" si="31"/>
        <v/>
      </c>
      <c r="V126" s="64" t="str">
        <f t="shared" si="32"/>
        <v/>
      </c>
      <c r="W126" s="64" t="str">
        <f t="shared" si="33"/>
        <v/>
      </c>
      <c r="X126" s="64" t="str">
        <f>IF(E126="","",IF(AND(YEAR(E126)=Lịch!$T$2,ROUNDUP(MONTH(E126)/3,0)=Lịch!$W$2),MAX(X$6:X125)+1,""))</f>
        <v/>
      </c>
      <c r="Y126" s="74"/>
      <c r="Z126" s="71" t="str">
        <f t="shared" si="34"/>
        <v/>
      </c>
      <c r="AA126" s="72" t="str">
        <f t="shared" ca="1" si="35"/>
        <v/>
      </c>
    </row>
    <row r="127" spans="1:27" ht="18.75" customHeight="1" x14ac:dyDescent="0.25">
      <c r="A127" s="64" t="str">
        <f t="shared" si="27"/>
        <v/>
      </c>
      <c r="B127" s="65"/>
      <c r="C127" s="66"/>
      <c r="D127" s="65"/>
      <c r="E127" s="67"/>
      <c r="F127" s="67"/>
      <c r="G127" s="64" t="str">
        <f t="shared" si="28"/>
        <v/>
      </c>
      <c r="H127" s="65"/>
      <c r="I127" s="64" t="str">
        <f t="shared" si="29"/>
        <v/>
      </c>
      <c r="J127" s="66"/>
      <c r="K127" s="65"/>
      <c r="L127" s="65"/>
      <c r="M127" s="66"/>
      <c r="N127" s="65"/>
      <c r="O127" s="65"/>
      <c r="P127" s="65"/>
      <c r="Q127" s="68" t="str">
        <f t="shared" si="30"/>
        <v/>
      </c>
      <c r="R127" s="69"/>
      <c r="S127" s="70"/>
      <c r="T127" s="65"/>
      <c r="U127" s="64" t="str">
        <f t="shared" ca="1" si="31"/>
        <v/>
      </c>
      <c r="V127" s="64" t="str">
        <f t="shared" si="32"/>
        <v/>
      </c>
      <c r="W127" s="64" t="str">
        <f t="shared" si="33"/>
        <v/>
      </c>
      <c r="X127" s="64" t="str">
        <f>IF(E127="","",IF(AND(YEAR(E127)=Lịch!$T$2,ROUNDUP(MONTH(E127)/3,0)=Lịch!$W$2),MAX(X$6:X126)+1,""))</f>
        <v/>
      </c>
      <c r="Y127" s="66"/>
      <c r="Z127" s="71" t="str">
        <f t="shared" si="34"/>
        <v/>
      </c>
      <c r="AA127" s="72" t="str">
        <f t="shared" ca="1" si="35"/>
        <v/>
      </c>
    </row>
    <row r="128" spans="1:27" ht="18.75" customHeight="1" x14ac:dyDescent="0.25">
      <c r="A128" s="64" t="str">
        <f t="shared" si="27"/>
        <v/>
      </c>
      <c r="B128" s="73"/>
      <c r="C128" s="74"/>
      <c r="D128" s="73"/>
      <c r="E128" s="75"/>
      <c r="F128" s="75"/>
      <c r="G128" s="64" t="str">
        <f t="shared" si="28"/>
        <v/>
      </c>
      <c r="H128" s="73"/>
      <c r="I128" s="64" t="str">
        <f t="shared" si="29"/>
        <v/>
      </c>
      <c r="J128" s="74"/>
      <c r="K128" s="73"/>
      <c r="L128" s="73"/>
      <c r="M128" s="74"/>
      <c r="N128" s="73"/>
      <c r="O128" s="73"/>
      <c r="P128" s="73"/>
      <c r="Q128" s="68" t="str">
        <f t="shared" si="30"/>
        <v/>
      </c>
      <c r="R128" s="76"/>
      <c r="S128" s="77"/>
      <c r="T128" s="73"/>
      <c r="U128" s="64" t="str">
        <f t="shared" ca="1" si="31"/>
        <v/>
      </c>
      <c r="V128" s="64" t="str">
        <f t="shared" si="32"/>
        <v/>
      </c>
      <c r="W128" s="64" t="str">
        <f t="shared" si="33"/>
        <v/>
      </c>
      <c r="X128" s="64" t="str">
        <f>IF(E128="","",IF(AND(YEAR(E128)=Lịch!$T$2,ROUNDUP(MONTH(E128)/3,0)=Lịch!$W$2),MAX(X$6:X127)+1,""))</f>
        <v/>
      </c>
      <c r="Y128" s="74"/>
      <c r="Z128" s="71" t="str">
        <f t="shared" si="34"/>
        <v/>
      </c>
      <c r="AA128" s="72" t="str">
        <f t="shared" ca="1" si="35"/>
        <v/>
      </c>
    </row>
    <row r="129" spans="1:27" ht="18.75" customHeight="1" x14ac:dyDescent="0.25">
      <c r="A129" s="64" t="str">
        <f t="shared" si="27"/>
        <v/>
      </c>
      <c r="B129" s="65"/>
      <c r="C129" s="66"/>
      <c r="D129" s="65"/>
      <c r="E129" s="67"/>
      <c r="F129" s="67"/>
      <c r="G129" s="64" t="str">
        <f t="shared" si="28"/>
        <v/>
      </c>
      <c r="H129" s="65"/>
      <c r="I129" s="64" t="str">
        <f t="shared" si="29"/>
        <v/>
      </c>
      <c r="J129" s="66"/>
      <c r="K129" s="65"/>
      <c r="L129" s="65"/>
      <c r="M129" s="66"/>
      <c r="N129" s="65"/>
      <c r="O129" s="65"/>
      <c r="P129" s="65"/>
      <c r="Q129" s="68" t="str">
        <f t="shared" si="30"/>
        <v/>
      </c>
      <c r="R129" s="69"/>
      <c r="S129" s="70"/>
      <c r="T129" s="65"/>
      <c r="U129" s="64" t="str">
        <f t="shared" ca="1" si="31"/>
        <v/>
      </c>
      <c r="V129" s="64" t="str">
        <f t="shared" si="32"/>
        <v/>
      </c>
      <c r="W129" s="64" t="str">
        <f t="shared" si="33"/>
        <v/>
      </c>
      <c r="X129" s="64" t="str">
        <f>IF(E129="","",IF(AND(YEAR(E129)=Lịch!$T$2,ROUNDUP(MONTH(E129)/3,0)=Lịch!$W$2),MAX(X$6:X128)+1,""))</f>
        <v/>
      </c>
      <c r="Y129" s="66"/>
      <c r="Z129" s="71" t="str">
        <f t="shared" si="34"/>
        <v/>
      </c>
      <c r="AA129" s="72" t="str">
        <f t="shared" ca="1" si="35"/>
        <v/>
      </c>
    </row>
    <row r="130" spans="1:27" ht="18.75" customHeight="1" x14ac:dyDescent="0.25">
      <c r="A130" s="64" t="str">
        <f t="shared" si="27"/>
        <v/>
      </c>
      <c r="B130" s="73"/>
      <c r="C130" s="74"/>
      <c r="D130" s="73"/>
      <c r="E130" s="75"/>
      <c r="F130" s="75"/>
      <c r="G130" s="64" t="str">
        <f t="shared" si="28"/>
        <v/>
      </c>
      <c r="H130" s="73"/>
      <c r="I130" s="64" t="str">
        <f t="shared" si="29"/>
        <v/>
      </c>
      <c r="J130" s="74"/>
      <c r="K130" s="73"/>
      <c r="L130" s="73"/>
      <c r="M130" s="74"/>
      <c r="N130" s="73"/>
      <c r="O130" s="73"/>
      <c r="P130" s="73"/>
      <c r="Q130" s="68" t="str">
        <f t="shared" si="30"/>
        <v/>
      </c>
      <c r="R130" s="76"/>
      <c r="S130" s="77"/>
      <c r="T130" s="73"/>
      <c r="U130" s="64" t="str">
        <f t="shared" ca="1" si="31"/>
        <v/>
      </c>
      <c r="V130" s="64" t="str">
        <f t="shared" si="32"/>
        <v/>
      </c>
      <c r="W130" s="64" t="str">
        <f t="shared" si="33"/>
        <v/>
      </c>
      <c r="X130" s="64" t="str">
        <f>IF(E130="","",IF(AND(YEAR(E130)=Lịch!$T$2,ROUNDUP(MONTH(E130)/3,0)=Lịch!$W$2),MAX(X$6:X129)+1,""))</f>
        <v/>
      </c>
      <c r="Y130" s="74"/>
      <c r="Z130" s="71" t="str">
        <f t="shared" si="34"/>
        <v/>
      </c>
      <c r="AA130" s="72" t="str">
        <f t="shared" ca="1" si="35"/>
        <v/>
      </c>
    </row>
    <row r="131" spans="1:27" ht="18.75" customHeight="1" x14ac:dyDescent="0.25">
      <c r="A131" s="64" t="str">
        <f t="shared" si="27"/>
        <v/>
      </c>
      <c r="B131" s="65"/>
      <c r="C131" s="66"/>
      <c r="D131" s="65"/>
      <c r="E131" s="67"/>
      <c r="F131" s="67"/>
      <c r="G131" s="64" t="str">
        <f t="shared" si="28"/>
        <v/>
      </c>
      <c r="H131" s="65"/>
      <c r="I131" s="64" t="str">
        <f t="shared" si="29"/>
        <v/>
      </c>
      <c r="J131" s="66"/>
      <c r="K131" s="65"/>
      <c r="L131" s="65"/>
      <c r="M131" s="66"/>
      <c r="N131" s="65"/>
      <c r="O131" s="65"/>
      <c r="P131" s="65"/>
      <c r="Q131" s="68" t="str">
        <f t="shared" si="30"/>
        <v/>
      </c>
      <c r="R131" s="69"/>
      <c r="S131" s="70"/>
      <c r="T131" s="65"/>
      <c r="U131" s="64" t="str">
        <f t="shared" ca="1" si="31"/>
        <v/>
      </c>
      <c r="V131" s="64" t="str">
        <f t="shared" si="32"/>
        <v/>
      </c>
      <c r="W131" s="64" t="str">
        <f t="shared" si="33"/>
        <v/>
      </c>
      <c r="X131" s="64" t="str">
        <f>IF(E131="","",IF(AND(YEAR(E131)=Lịch!$T$2,ROUNDUP(MONTH(E131)/3,0)=Lịch!$W$2),MAX(X$6:X130)+1,""))</f>
        <v/>
      </c>
      <c r="Y131" s="66"/>
      <c r="Z131" s="71" t="str">
        <f t="shared" si="34"/>
        <v/>
      </c>
      <c r="AA131" s="72" t="str">
        <f t="shared" ca="1" si="35"/>
        <v/>
      </c>
    </row>
    <row r="132" spans="1:27" ht="18.75" customHeight="1" x14ac:dyDescent="0.25">
      <c r="A132" s="64" t="str">
        <f t="shared" si="27"/>
        <v/>
      </c>
      <c r="B132" s="73"/>
      <c r="C132" s="74"/>
      <c r="D132" s="73"/>
      <c r="E132" s="75"/>
      <c r="F132" s="75"/>
      <c r="G132" s="64" t="str">
        <f t="shared" si="28"/>
        <v/>
      </c>
      <c r="H132" s="73"/>
      <c r="I132" s="64" t="str">
        <f t="shared" si="29"/>
        <v/>
      </c>
      <c r="J132" s="74"/>
      <c r="K132" s="73"/>
      <c r="L132" s="73"/>
      <c r="M132" s="74"/>
      <c r="N132" s="73"/>
      <c r="O132" s="73"/>
      <c r="P132" s="73"/>
      <c r="Q132" s="68" t="str">
        <f t="shared" si="30"/>
        <v/>
      </c>
      <c r="R132" s="76"/>
      <c r="S132" s="77"/>
      <c r="T132" s="73"/>
      <c r="U132" s="64" t="str">
        <f t="shared" ca="1" si="31"/>
        <v/>
      </c>
      <c r="V132" s="64" t="str">
        <f t="shared" si="32"/>
        <v/>
      </c>
      <c r="W132" s="64" t="str">
        <f t="shared" si="33"/>
        <v/>
      </c>
      <c r="X132" s="64" t="str">
        <f>IF(E132="","",IF(AND(YEAR(E132)=Lịch!$T$2,ROUNDUP(MONTH(E132)/3,0)=Lịch!$W$2),MAX(X$6:X131)+1,""))</f>
        <v/>
      </c>
      <c r="Y132" s="74"/>
      <c r="Z132" s="71" t="str">
        <f t="shared" si="34"/>
        <v/>
      </c>
      <c r="AA132" s="72" t="str">
        <f t="shared" ca="1" si="35"/>
        <v/>
      </c>
    </row>
    <row r="133" spans="1:27" ht="18.75" customHeight="1" x14ac:dyDescent="0.25">
      <c r="A133" s="64" t="str">
        <f t="shared" si="27"/>
        <v/>
      </c>
      <c r="B133" s="65"/>
      <c r="C133" s="66"/>
      <c r="D133" s="65"/>
      <c r="E133" s="67"/>
      <c r="F133" s="67"/>
      <c r="G133" s="64" t="str">
        <f t="shared" si="28"/>
        <v/>
      </c>
      <c r="H133" s="65"/>
      <c r="I133" s="64" t="str">
        <f t="shared" si="29"/>
        <v/>
      </c>
      <c r="J133" s="66"/>
      <c r="K133" s="65"/>
      <c r="L133" s="65"/>
      <c r="M133" s="66"/>
      <c r="N133" s="65"/>
      <c r="O133" s="65"/>
      <c r="P133" s="65"/>
      <c r="Q133" s="68" t="str">
        <f t="shared" si="30"/>
        <v/>
      </c>
      <c r="R133" s="69"/>
      <c r="S133" s="70"/>
      <c r="T133" s="65"/>
      <c r="U133" s="64" t="str">
        <f t="shared" ca="1" si="31"/>
        <v/>
      </c>
      <c r="V133" s="64" t="str">
        <f t="shared" si="32"/>
        <v/>
      </c>
      <c r="W133" s="64" t="str">
        <f t="shared" si="33"/>
        <v/>
      </c>
      <c r="X133" s="64" t="str">
        <f>IF(E133="","",IF(AND(YEAR(E133)=Lịch!$T$2,ROUNDUP(MONTH(E133)/3,0)=Lịch!$W$2),MAX(X$6:X132)+1,""))</f>
        <v/>
      </c>
      <c r="Y133" s="66"/>
      <c r="Z133" s="71" t="str">
        <f t="shared" si="34"/>
        <v/>
      </c>
      <c r="AA133" s="72" t="str">
        <f t="shared" ca="1" si="35"/>
        <v/>
      </c>
    </row>
    <row r="134" spans="1:27" ht="18.75" customHeight="1" x14ac:dyDescent="0.25">
      <c r="A134" s="64" t="str">
        <f t="shared" si="27"/>
        <v/>
      </c>
      <c r="B134" s="73"/>
      <c r="C134" s="74"/>
      <c r="D134" s="73"/>
      <c r="E134" s="75"/>
      <c r="F134" s="75"/>
      <c r="G134" s="64" t="str">
        <f t="shared" si="28"/>
        <v/>
      </c>
      <c r="H134" s="73"/>
      <c r="I134" s="64" t="str">
        <f t="shared" si="29"/>
        <v/>
      </c>
      <c r="J134" s="74"/>
      <c r="K134" s="73"/>
      <c r="L134" s="73"/>
      <c r="M134" s="74"/>
      <c r="N134" s="73"/>
      <c r="O134" s="73"/>
      <c r="P134" s="73"/>
      <c r="Q134" s="68" t="str">
        <f t="shared" si="30"/>
        <v/>
      </c>
      <c r="R134" s="76"/>
      <c r="S134" s="77"/>
      <c r="T134" s="73"/>
      <c r="U134" s="64" t="str">
        <f t="shared" ca="1" si="31"/>
        <v/>
      </c>
      <c r="V134" s="64" t="str">
        <f t="shared" si="32"/>
        <v/>
      </c>
      <c r="W134" s="64" t="str">
        <f t="shared" si="33"/>
        <v/>
      </c>
      <c r="X134" s="64" t="str">
        <f>IF(E134="","",IF(AND(YEAR(E134)=Lịch!$T$2,ROUNDUP(MONTH(E134)/3,0)=Lịch!$W$2),MAX(X$6:X133)+1,""))</f>
        <v/>
      </c>
      <c r="Y134" s="74"/>
      <c r="Z134" s="71" t="str">
        <f t="shared" si="34"/>
        <v/>
      </c>
      <c r="AA134" s="72" t="str">
        <f t="shared" ca="1" si="35"/>
        <v/>
      </c>
    </row>
    <row r="135" spans="1:27" ht="18.75" customHeight="1" x14ac:dyDescent="0.25">
      <c r="A135" s="64" t="str">
        <f t="shared" ref="A135:A166" si="36">IF(C135="","",ROW()-6)</f>
        <v/>
      </c>
      <c r="B135" s="65"/>
      <c r="C135" s="66"/>
      <c r="D135" s="65"/>
      <c r="E135" s="67"/>
      <c r="F135" s="67"/>
      <c r="G135" s="64" t="str">
        <f t="shared" ref="G135:G166" si="37">IF(OR(E135="",F135=""),"",NETWORKDAYS(E135,F135))</f>
        <v/>
      </c>
      <c r="H135" s="65"/>
      <c r="I135" s="64" t="str">
        <f t="shared" ref="I135:I166" si="38">IF(OR(G135="",H135=""),"",G135*H135)</f>
        <v/>
      </c>
      <c r="J135" s="66"/>
      <c r="K135" s="65"/>
      <c r="L135" s="65"/>
      <c r="M135" s="66"/>
      <c r="N135" s="65"/>
      <c r="O135" s="65"/>
      <c r="P135" s="65"/>
      <c r="Q135" s="68" t="str">
        <f t="shared" ref="Q135:Q166" si="39">IF(OR(O135="",O135=0,P135=""),"",P135/O135)</f>
        <v/>
      </c>
      <c r="R135" s="69"/>
      <c r="S135" s="70"/>
      <c r="T135" s="65"/>
      <c r="U135" s="64" t="str">
        <f t="shared" ref="U135:U166" ca="1" si="40">IF(C135="","",IF(T135&lt;&gt;"",T135,IF(E135="","Chưa xếp lịch",IF(TODAY()&lt;E135,"Sắp diễn ra",IF(TODAY()&gt;F135,"Đã hoàn thành","Đang diễn ra")))))</f>
        <v/>
      </c>
      <c r="V135" s="64" t="str">
        <f t="shared" ref="V135:V166" si="41">IF(E135="","","Q"&amp;ROUNDUP(MONTH(E135)/3,0))</f>
        <v/>
      </c>
      <c r="W135" s="64" t="str">
        <f t="shared" ref="W135:W166" si="42">IF(E135="","",YEAR(E135))</f>
        <v/>
      </c>
      <c r="X135" s="64" t="str">
        <f>IF(E135="","",IF(AND(YEAR(E135)=Lịch!$T$2,ROUNDUP(MONTH(E135)/3,0)=Lịch!$W$2),MAX(X$6:X134)+1,""))</f>
        <v/>
      </c>
      <c r="Y135" s="66"/>
      <c r="Z135" s="71" t="str">
        <f t="shared" ref="Z135:Z166" si="43">IF(OR(I135="",P135=""),"",I135*P135)</f>
        <v/>
      </c>
      <c r="AA135" s="72" t="str">
        <f t="shared" ref="AA135:AA166" ca="1" si="44">IF(AND(C135&lt;&gt;"",T135="",E135&lt;&gt;"",F135&gt;=TODAY()),E135+ROW()/100000,"")</f>
        <v/>
      </c>
    </row>
    <row r="136" spans="1:27" ht="18.75" customHeight="1" x14ac:dyDescent="0.25">
      <c r="A136" s="64" t="str">
        <f t="shared" si="36"/>
        <v/>
      </c>
      <c r="B136" s="73"/>
      <c r="C136" s="74"/>
      <c r="D136" s="73"/>
      <c r="E136" s="75"/>
      <c r="F136" s="75"/>
      <c r="G136" s="64" t="str">
        <f t="shared" si="37"/>
        <v/>
      </c>
      <c r="H136" s="73"/>
      <c r="I136" s="64" t="str">
        <f t="shared" si="38"/>
        <v/>
      </c>
      <c r="J136" s="74"/>
      <c r="K136" s="73"/>
      <c r="L136" s="73"/>
      <c r="M136" s="74"/>
      <c r="N136" s="73"/>
      <c r="O136" s="73"/>
      <c r="P136" s="73"/>
      <c r="Q136" s="68" t="str">
        <f t="shared" si="39"/>
        <v/>
      </c>
      <c r="R136" s="76"/>
      <c r="S136" s="77"/>
      <c r="T136" s="73"/>
      <c r="U136" s="64" t="str">
        <f t="shared" ca="1" si="40"/>
        <v/>
      </c>
      <c r="V136" s="64" t="str">
        <f t="shared" si="41"/>
        <v/>
      </c>
      <c r="W136" s="64" t="str">
        <f t="shared" si="42"/>
        <v/>
      </c>
      <c r="X136" s="64" t="str">
        <f>IF(E136="","",IF(AND(YEAR(E136)=Lịch!$T$2,ROUNDUP(MONTH(E136)/3,0)=Lịch!$W$2),MAX(X$6:X135)+1,""))</f>
        <v/>
      </c>
      <c r="Y136" s="74"/>
      <c r="Z136" s="71" t="str">
        <f t="shared" si="43"/>
        <v/>
      </c>
      <c r="AA136" s="72" t="str">
        <f t="shared" ca="1" si="44"/>
        <v/>
      </c>
    </row>
    <row r="137" spans="1:27" ht="18.75" customHeight="1" x14ac:dyDescent="0.25">
      <c r="A137" s="64" t="str">
        <f t="shared" si="36"/>
        <v/>
      </c>
      <c r="B137" s="65"/>
      <c r="C137" s="66"/>
      <c r="D137" s="65"/>
      <c r="E137" s="67"/>
      <c r="F137" s="67"/>
      <c r="G137" s="64" t="str">
        <f t="shared" si="37"/>
        <v/>
      </c>
      <c r="H137" s="65"/>
      <c r="I137" s="64" t="str">
        <f t="shared" si="38"/>
        <v/>
      </c>
      <c r="J137" s="66"/>
      <c r="K137" s="65"/>
      <c r="L137" s="65"/>
      <c r="M137" s="66"/>
      <c r="N137" s="65"/>
      <c r="O137" s="65"/>
      <c r="P137" s="65"/>
      <c r="Q137" s="68" t="str">
        <f t="shared" si="39"/>
        <v/>
      </c>
      <c r="R137" s="69"/>
      <c r="S137" s="70"/>
      <c r="T137" s="65"/>
      <c r="U137" s="64" t="str">
        <f t="shared" ca="1" si="40"/>
        <v/>
      </c>
      <c r="V137" s="64" t="str">
        <f t="shared" si="41"/>
        <v/>
      </c>
      <c r="W137" s="64" t="str">
        <f t="shared" si="42"/>
        <v/>
      </c>
      <c r="X137" s="64" t="str">
        <f>IF(E137="","",IF(AND(YEAR(E137)=Lịch!$T$2,ROUNDUP(MONTH(E137)/3,0)=Lịch!$W$2),MAX(X$6:X136)+1,""))</f>
        <v/>
      </c>
      <c r="Y137" s="66"/>
      <c r="Z137" s="71" t="str">
        <f t="shared" si="43"/>
        <v/>
      </c>
      <c r="AA137" s="72" t="str">
        <f t="shared" ca="1" si="44"/>
        <v/>
      </c>
    </row>
    <row r="138" spans="1:27" ht="18.75" customHeight="1" x14ac:dyDescent="0.25">
      <c r="A138" s="64" t="str">
        <f t="shared" si="36"/>
        <v/>
      </c>
      <c r="B138" s="73"/>
      <c r="C138" s="74"/>
      <c r="D138" s="73"/>
      <c r="E138" s="75"/>
      <c r="F138" s="75"/>
      <c r="G138" s="64" t="str">
        <f t="shared" si="37"/>
        <v/>
      </c>
      <c r="H138" s="73"/>
      <c r="I138" s="64" t="str">
        <f t="shared" si="38"/>
        <v/>
      </c>
      <c r="J138" s="74"/>
      <c r="K138" s="73"/>
      <c r="L138" s="73"/>
      <c r="M138" s="74"/>
      <c r="N138" s="73"/>
      <c r="O138" s="73"/>
      <c r="P138" s="73"/>
      <c r="Q138" s="68" t="str">
        <f t="shared" si="39"/>
        <v/>
      </c>
      <c r="R138" s="76"/>
      <c r="S138" s="77"/>
      <c r="T138" s="73"/>
      <c r="U138" s="64" t="str">
        <f t="shared" ca="1" si="40"/>
        <v/>
      </c>
      <c r="V138" s="64" t="str">
        <f t="shared" si="41"/>
        <v/>
      </c>
      <c r="W138" s="64" t="str">
        <f t="shared" si="42"/>
        <v/>
      </c>
      <c r="X138" s="64" t="str">
        <f>IF(E138="","",IF(AND(YEAR(E138)=Lịch!$T$2,ROUNDUP(MONTH(E138)/3,0)=Lịch!$W$2),MAX(X$6:X137)+1,""))</f>
        <v/>
      </c>
      <c r="Y138" s="74"/>
      <c r="Z138" s="71" t="str">
        <f t="shared" si="43"/>
        <v/>
      </c>
      <c r="AA138" s="72" t="str">
        <f t="shared" ca="1" si="44"/>
        <v/>
      </c>
    </row>
    <row r="139" spans="1:27" ht="18.75" customHeight="1" x14ac:dyDescent="0.25">
      <c r="A139" s="64" t="str">
        <f t="shared" si="36"/>
        <v/>
      </c>
      <c r="B139" s="65"/>
      <c r="C139" s="66"/>
      <c r="D139" s="65"/>
      <c r="E139" s="67"/>
      <c r="F139" s="67"/>
      <c r="G139" s="64" t="str">
        <f t="shared" si="37"/>
        <v/>
      </c>
      <c r="H139" s="65"/>
      <c r="I139" s="64" t="str">
        <f t="shared" si="38"/>
        <v/>
      </c>
      <c r="J139" s="66"/>
      <c r="K139" s="65"/>
      <c r="L139" s="65"/>
      <c r="M139" s="66"/>
      <c r="N139" s="65"/>
      <c r="O139" s="65"/>
      <c r="P139" s="65"/>
      <c r="Q139" s="68" t="str">
        <f t="shared" si="39"/>
        <v/>
      </c>
      <c r="R139" s="69"/>
      <c r="S139" s="70"/>
      <c r="T139" s="65"/>
      <c r="U139" s="64" t="str">
        <f t="shared" ca="1" si="40"/>
        <v/>
      </c>
      <c r="V139" s="64" t="str">
        <f t="shared" si="41"/>
        <v/>
      </c>
      <c r="W139" s="64" t="str">
        <f t="shared" si="42"/>
        <v/>
      </c>
      <c r="X139" s="64" t="str">
        <f>IF(E139="","",IF(AND(YEAR(E139)=Lịch!$T$2,ROUNDUP(MONTH(E139)/3,0)=Lịch!$W$2),MAX(X$6:X138)+1,""))</f>
        <v/>
      </c>
      <c r="Y139" s="66"/>
      <c r="Z139" s="71" t="str">
        <f t="shared" si="43"/>
        <v/>
      </c>
      <c r="AA139" s="72" t="str">
        <f t="shared" ca="1" si="44"/>
        <v/>
      </c>
    </row>
    <row r="140" spans="1:27" ht="18.75" customHeight="1" x14ac:dyDescent="0.25">
      <c r="A140" s="64" t="str">
        <f t="shared" si="36"/>
        <v/>
      </c>
      <c r="B140" s="73"/>
      <c r="C140" s="74"/>
      <c r="D140" s="73"/>
      <c r="E140" s="75"/>
      <c r="F140" s="75"/>
      <c r="G140" s="64" t="str">
        <f t="shared" si="37"/>
        <v/>
      </c>
      <c r="H140" s="73"/>
      <c r="I140" s="64" t="str">
        <f t="shared" si="38"/>
        <v/>
      </c>
      <c r="J140" s="74"/>
      <c r="K140" s="73"/>
      <c r="L140" s="73"/>
      <c r="M140" s="74"/>
      <c r="N140" s="73"/>
      <c r="O140" s="73"/>
      <c r="P140" s="73"/>
      <c r="Q140" s="68" t="str">
        <f t="shared" si="39"/>
        <v/>
      </c>
      <c r="R140" s="76"/>
      <c r="S140" s="77"/>
      <c r="T140" s="73"/>
      <c r="U140" s="64" t="str">
        <f t="shared" ca="1" si="40"/>
        <v/>
      </c>
      <c r="V140" s="64" t="str">
        <f t="shared" si="41"/>
        <v/>
      </c>
      <c r="W140" s="64" t="str">
        <f t="shared" si="42"/>
        <v/>
      </c>
      <c r="X140" s="64" t="str">
        <f>IF(E140="","",IF(AND(YEAR(E140)=Lịch!$T$2,ROUNDUP(MONTH(E140)/3,0)=Lịch!$W$2),MAX(X$6:X139)+1,""))</f>
        <v/>
      </c>
      <c r="Y140" s="74"/>
      <c r="Z140" s="71" t="str">
        <f t="shared" si="43"/>
        <v/>
      </c>
      <c r="AA140" s="72" t="str">
        <f t="shared" ca="1" si="44"/>
        <v/>
      </c>
    </row>
    <row r="141" spans="1:27" ht="18.75" customHeight="1" x14ac:dyDescent="0.25">
      <c r="A141" s="64" t="str">
        <f t="shared" si="36"/>
        <v/>
      </c>
      <c r="B141" s="65"/>
      <c r="C141" s="66"/>
      <c r="D141" s="65"/>
      <c r="E141" s="67"/>
      <c r="F141" s="67"/>
      <c r="G141" s="64" t="str">
        <f t="shared" si="37"/>
        <v/>
      </c>
      <c r="H141" s="65"/>
      <c r="I141" s="64" t="str">
        <f t="shared" si="38"/>
        <v/>
      </c>
      <c r="J141" s="66"/>
      <c r="K141" s="65"/>
      <c r="L141" s="65"/>
      <c r="M141" s="66"/>
      <c r="N141" s="65"/>
      <c r="O141" s="65"/>
      <c r="P141" s="65"/>
      <c r="Q141" s="68" t="str">
        <f t="shared" si="39"/>
        <v/>
      </c>
      <c r="R141" s="69"/>
      <c r="S141" s="70"/>
      <c r="T141" s="65"/>
      <c r="U141" s="64" t="str">
        <f t="shared" ca="1" si="40"/>
        <v/>
      </c>
      <c r="V141" s="64" t="str">
        <f t="shared" si="41"/>
        <v/>
      </c>
      <c r="W141" s="64" t="str">
        <f t="shared" si="42"/>
        <v/>
      </c>
      <c r="X141" s="64" t="str">
        <f>IF(E141="","",IF(AND(YEAR(E141)=Lịch!$T$2,ROUNDUP(MONTH(E141)/3,0)=Lịch!$W$2),MAX(X$6:X140)+1,""))</f>
        <v/>
      </c>
      <c r="Y141" s="66"/>
      <c r="Z141" s="71" t="str">
        <f t="shared" si="43"/>
        <v/>
      </c>
      <c r="AA141" s="72" t="str">
        <f t="shared" ca="1" si="44"/>
        <v/>
      </c>
    </row>
    <row r="142" spans="1:27" ht="18.75" customHeight="1" x14ac:dyDescent="0.25">
      <c r="A142" s="64" t="str">
        <f t="shared" si="36"/>
        <v/>
      </c>
      <c r="B142" s="73"/>
      <c r="C142" s="74"/>
      <c r="D142" s="73"/>
      <c r="E142" s="75"/>
      <c r="F142" s="75"/>
      <c r="G142" s="64" t="str">
        <f t="shared" si="37"/>
        <v/>
      </c>
      <c r="H142" s="73"/>
      <c r="I142" s="64" t="str">
        <f t="shared" si="38"/>
        <v/>
      </c>
      <c r="J142" s="74"/>
      <c r="K142" s="73"/>
      <c r="L142" s="73"/>
      <c r="M142" s="74"/>
      <c r="N142" s="73"/>
      <c r="O142" s="73"/>
      <c r="P142" s="73"/>
      <c r="Q142" s="68" t="str">
        <f t="shared" si="39"/>
        <v/>
      </c>
      <c r="R142" s="76"/>
      <c r="S142" s="77"/>
      <c r="T142" s="73"/>
      <c r="U142" s="64" t="str">
        <f t="shared" ca="1" si="40"/>
        <v/>
      </c>
      <c r="V142" s="64" t="str">
        <f t="shared" si="41"/>
        <v/>
      </c>
      <c r="W142" s="64" t="str">
        <f t="shared" si="42"/>
        <v/>
      </c>
      <c r="X142" s="64" t="str">
        <f>IF(E142="","",IF(AND(YEAR(E142)=Lịch!$T$2,ROUNDUP(MONTH(E142)/3,0)=Lịch!$W$2),MAX(X$6:X141)+1,""))</f>
        <v/>
      </c>
      <c r="Y142" s="74"/>
      <c r="Z142" s="71" t="str">
        <f t="shared" si="43"/>
        <v/>
      </c>
      <c r="AA142" s="72" t="str">
        <f t="shared" ca="1" si="44"/>
        <v/>
      </c>
    </row>
    <row r="143" spans="1:27" ht="18.75" customHeight="1" x14ac:dyDescent="0.25">
      <c r="A143" s="64" t="str">
        <f t="shared" si="36"/>
        <v/>
      </c>
      <c r="B143" s="65"/>
      <c r="C143" s="66"/>
      <c r="D143" s="65"/>
      <c r="E143" s="67"/>
      <c r="F143" s="67"/>
      <c r="G143" s="64" t="str">
        <f t="shared" si="37"/>
        <v/>
      </c>
      <c r="H143" s="65"/>
      <c r="I143" s="64" t="str">
        <f t="shared" si="38"/>
        <v/>
      </c>
      <c r="J143" s="66"/>
      <c r="K143" s="65"/>
      <c r="L143" s="65"/>
      <c r="M143" s="66"/>
      <c r="N143" s="65"/>
      <c r="O143" s="65"/>
      <c r="P143" s="65"/>
      <c r="Q143" s="68" t="str">
        <f t="shared" si="39"/>
        <v/>
      </c>
      <c r="R143" s="69"/>
      <c r="S143" s="70"/>
      <c r="T143" s="65"/>
      <c r="U143" s="64" t="str">
        <f t="shared" ca="1" si="40"/>
        <v/>
      </c>
      <c r="V143" s="64" t="str">
        <f t="shared" si="41"/>
        <v/>
      </c>
      <c r="W143" s="64" t="str">
        <f t="shared" si="42"/>
        <v/>
      </c>
      <c r="X143" s="64" t="str">
        <f>IF(E143="","",IF(AND(YEAR(E143)=Lịch!$T$2,ROUNDUP(MONTH(E143)/3,0)=Lịch!$W$2),MAX(X$6:X142)+1,""))</f>
        <v/>
      </c>
      <c r="Y143" s="66"/>
      <c r="Z143" s="71" t="str">
        <f t="shared" si="43"/>
        <v/>
      </c>
      <c r="AA143" s="72" t="str">
        <f t="shared" ca="1" si="44"/>
        <v/>
      </c>
    </row>
    <row r="144" spans="1:27" ht="18.75" customHeight="1" x14ac:dyDescent="0.25">
      <c r="A144" s="64" t="str">
        <f t="shared" si="36"/>
        <v/>
      </c>
      <c r="B144" s="73"/>
      <c r="C144" s="74"/>
      <c r="D144" s="73"/>
      <c r="E144" s="75"/>
      <c r="F144" s="75"/>
      <c r="G144" s="64" t="str">
        <f t="shared" si="37"/>
        <v/>
      </c>
      <c r="H144" s="73"/>
      <c r="I144" s="64" t="str">
        <f t="shared" si="38"/>
        <v/>
      </c>
      <c r="J144" s="74"/>
      <c r="K144" s="73"/>
      <c r="L144" s="73"/>
      <c r="M144" s="74"/>
      <c r="N144" s="73"/>
      <c r="O144" s="73"/>
      <c r="P144" s="73"/>
      <c r="Q144" s="68" t="str">
        <f t="shared" si="39"/>
        <v/>
      </c>
      <c r="R144" s="76"/>
      <c r="S144" s="77"/>
      <c r="T144" s="73"/>
      <c r="U144" s="64" t="str">
        <f t="shared" ca="1" si="40"/>
        <v/>
      </c>
      <c r="V144" s="64" t="str">
        <f t="shared" si="41"/>
        <v/>
      </c>
      <c r="W144" s="64" t="str">
        <f t="shared" si="42"/>
        <v/>
      </c>
      <c r="X144" s="64" t="str">
        <f>IF(E144="","",IF(AND(YEAR(E144)=Lịch!$T$2,ROUNDUP(MONTH(E144)/3,0)=Lịch!$W$2),MAX(X$6:X143)+1,""))</f>
        <v/>
      </c>
      <c r="Y144" s="74"/>
      <c r="Z144" s="71" t="str">
        <f t="shared" si="43"/>
        <v/>
      </c>
      <c r="AA144" s="72" t="str">
        <f t="shared" ca="1" si="44"/>
        <v/>
      </c>
    </row>
    <row r="145" spans="1:27" ht="18.75" customHeight="1" x14ac:dyDescent="0.25">
      <c r="A145" s="64" t="str">
        <f t="shared" si="36"/>
        <v/>
      </c>
      <c r="B145" s="65"/>
      <c r="C145" s="66"/>
      <c r="D145" s="65"/>
      <c r="E145" s="67"/>
      <c r="F145" s="67"/>
      <c r="G145" s="64" t="str">
        <f t="shared" si="37"/>
        <v/>
      </c>
      <c r="H145" s="65"/>
      <c r="I145" s="64" t="str">
        <f t="shared" si="38"/>
        <v/>
      </c>
      <c r="J145" s="66"/>
      <c r="K145" s="65"/>
      <c r="L145" s="65"/>
      <c r="M145" s="66"/>
      <c r="N145" s="65"/>
      <c r="O145" s="65"/>
      <c r="P145" s="65"/>
      <c r="Q145" s="68" t="str">
        <f t="shared" si="39"/>
        <v/>
      </c>
      <c r="R145" s="69"/>
      <c r="S145" s="70"/>
      <c r="T145" s="65"/>
      <c r="U145" s="64" t="str">
        <f t="shared" ca="1" si="40"/>
        <v/>
      </c>
      <c r="V145" s="64" t="str">
        <f t="shared" si="41"/>
        <v/>
      </c>
      <c r="W145" s="64" t="str">
        <f t="shared" si="42"/>
        <v/>
      </c>
      <c r="X145" s="64" t="str">
        <f>IF(E145="","",IF(AND(YEAR(E145)=Lịch!$T$2,ROUNDUP(MONTH(E145)/3,0)=Lịch!$W$2),MAX(X$6:X144)+1,""))</f>
        <v/>
      </c>
      <c r="Y145" s="66"/>
      <c r="Z145" s="71" t="str">
        <f t="shared" si="43"/>
        <v/>
      </c>
      <c r="AA145" s="72" t="str">
        <f t="shared" ca="1" si="44"/>
        <v/>
      </c>
    </row>
    <row r="146" spans="1:27" ht="18.75" customHeight="1" x14ac:dyDescent="0.25">
      <c r="A146" s="64" t="str">
        <f t="shared" si="36"/>
        <v/>
      </c>
      <c r="B146" s="73"/>
      <c r="C146" s="74"/>
      <c r="D146" s="73"/>
      <c r="E146" s="75"/>
      <c r="F146" s="75"/>
      <c r="G146" s="64" t="str">
        <f t="shared" si="37"/>
        <v/>
      </c>
      <c r="H146" s="73"/>
      <c r="I146" s="64" t="str">
        <f t="shared" si="38"/>
        <v/>
      </c>
      <c r="J146" s="74"/>
      <c r="K146" s="73"/>
      <c r="L146" s="73"/>
      <c r="M146" s="74"/>
      <c r="N146" s="73"/>
      <c r="O146" s="73"/>
      <c r="P146" s="73"/>
      <c r="Q146" s="68" t="str">
        <f t="shared" si="39"/>
        <v/>
      </c>
      <c r="R146" s="76"/>
      <c r="S146" s="77"/>
      <c r="T146" s="73"/>
      <c r="U146" s="64" t="str">
        <f t="shared" ca="1" si="40"/>
        <v/>
      </c>
      <c r="V146" s="64" t="str">
        <f t="shared" si="41"/>
        <v/>
      </c>
      <c r="W146" s="64" t="str">
        <f t="shared" si="42"/>
        <v/>
      </c>
      <c r="X146" s="64" t="str">
        <f>IF(E146="","",IF(AND(YEAR(E146)=Lịch!$T$2,ROUNDUP(MONTH(E146)/3,0)=Lịch!$W$2),MAX(X$6:X145)+1,""))</f>
        <v/>
      </c>
      <c r="Y146" s="74"/>
      <c r="Z146" s="71" t="str">
        <f t="shared" si="43"/>
        <v/>
      </c>
      <c r="AA146" s="72" t="str">
        <f t="shared" ca="1" si="44"/>
        <v/>
      </c>
    </row>
    <row r="147" spans="1:27" ht="18.75" customHeight="1" x14ac:dyDescent="0.25">
      <c r="A147" s="64" t="str">
        <f t="shared" si="36"/>
        <v/>
      </c>
      <c r="B147" s="65"/>
      <c r="C147" s="66"/>
      <c r="D147" s="65"/>
      <c r="E147" s="67"/>
      <c r="F147" s="67"/>
      <c r="G147" s="64" t="str">
        <f t="shared" si="37"/>
        <v/>
      </c>
      <c r="H147" s="65"/>
      <c r="I147" s="64" t="str">
        <f t="shared" si="38"/>
        <v/>
      </c>
      <c r="J147" s="66"/>
      <c r="K147" s="65"/>
      <c r="L147" s="65"/>
      <c r="M147" s="66"/>
      <c r="N147" s="65"/>
      <c r="O147" s="65"/>
      <c r="P147" s="65"/>
      <c r="Q147" s="68" t="str">
        <f t="shared" si="39"/>
        <v/>
      </c>
      <c r="R147" s="69"/>
      <c r="S147" s="70"/>
      <c r="T147" s="65"/>
      <c r="U147" s="64" t="str">
        <f t="shared" ca="1" si="40"/>
        <v/>
      </c>
      <c r="V147" s="64" t="str">
        <f t="shared" si="41"/>
        <v/>
      </c>
      <c r="W147" s="64" t="str">
        <f t="shared" si="42"/>
        <v/>
      </c>
      <c r="X147" s="64" t="str">
        <f>IF(E147="","",IF(AND(YEAR(E147)=Lịch!$T$2,ROUNDUP(MONTH(E147)/3,0)=Lịch!$W$2),MAX(X$6:X146)+1,""))</f>
        <v/>
      </c>
      <c r="Y147" s="66"/>
      <c r="Z147" s="71" t="str">
        <f t="shared" si="43"/>
        <v/>
      </c>
      <c r="AA147" s="72" t="str">
        <f t="shared" ca="1" si="44"/>
        <v/>
      </c>
    </row>
    <row r="148" spans="1:27" ht="18.75" customHeight="1" x14ac:dyDescent="0.25">
      <c r="A148" s="64" t="str">
        <f t="shared" si="36"/>
        <v/>
      </c>
      <c r="B148" s="73"/>
      <c r="C148" s="74"/>
      <c r="D148" s="73"/>
      <c r="E148" s="75"/>
      <c r="F148" s="75"/>
      <c r="G148" s="64" t="str">
        <f t="shared" si="37"/>
        <v/>
      </c>
      <c r="H148" s="73"/>
      <c r="I148" s="64" t="str">
        <f t="shared" si="38"/>
        <v/>
      </c>
      <c r="J148" s="74"/>
      <c r="K148" s="73"/>
      <c r="L148" s="73"/>
      <c r="M148" s="74"/>
      <c r="N148" s="73"/>
      <c r="O148" s="73"/>
      <c r="P148" s="73"/>
      <c r="Q148" s="68" t="str">
        <f t="shared" si="39"/>
        <v/>
      </c>
      <c r="R148" s="76"/>
      <c r="S148" s="77"/>
      <c r="T148" s="73"/>
      <c r="U148" s="64" t="str">
        <f t="shared" ca="1" si="40"/>
        <v/>
      </c>
      <c r="V148" s="64" t="str">
        <f t="shared" si="41"/>
        <v/>
      </c>
      <c r="W148" s="64" t="str">
        <f t="shared" si="42"/>
        <v/>
      </c>
      <c r="X148" s="64" t="str">
        <f>IF(E148="","",IF(AND(YEAR(E148)=Lịch!$T$2,ROUNDUP(MONTH(E148)/3,0)=Lịch!$W$2),MAX(X$6:X147)+1,""))</f>
        <v/>
      </c>
      <c r="Y148" s="74"/>
      <c r="Z148" s="71" t="str">
        <f t="shared" si="43"/>
        <v/>
      </c>
      <c r="AA148" s="72" t="str">
        <f t="shared" ca="1" si="44"/>
        <v/>
      </c>
    </row>
    <row r="149" spans="1:27" ht="18.75" customHeight="1" x14ac:dyDescent="0.25">
      <c r="A149" s="64" t="str">
        <f t="shared" si="36"/>
        <v/>
      </c>
      <c r="B149" s="65"/>
      <c r="C149" s="66"/>
      <c r="D149" s="65"/>
      <c r="E149" s="67"/>
      <c r="F149" s="67"/>
      <c r="G149" s="64" t="str">
        <f t="shared" si="37"/>
        <v/>
      </c>
      <c r="H149" s="65"/>
      <c r="I149" s="64" t="str">
        <f t="shared" si="38"/>
        <v/>
      </c>
      <c r="J149" s="66"/>
      <c r="K149" s="65"/>
      <c r="L149" s="65"/>
      <c r="M149" s="66"/>
      <c r="N149" s="65"/>
      <c r="O149" s="65"/>
      <c r="P149" s="65"/>
      <c r="Q149" s="68" t="str">
        <f t="shared" si="39"/>
        <v/>
      </c>
      <c r="R149" s="69"/>
      <c r="S149" s="70"/>
      <c r="T149" s="65"/>
      <c r="U149" s="64" t="str">
        <f t="shared" ca="1" si="40"/>
        <v/>
      </c>
      <c r="V149" s="64" t="str">
        <f t="shared" si="41"/>
        <v/>
      </c>
      <c r="W149" s="64" t="str">
        <f t="shared" si="42"/>
        <v/>
      </c>
      <c r="X149" s="64" t="str">
        <f>IF(E149="","",IF(AND(YEAR(E149)=Lịch!$T$2,ROUNDUP(MONTH(E149)/3,0)=Lịch!$W$2),MAX(X$6:X148)+1,""))</f>
        <v/>
      </c>
      <c r="Y149" s="66"/>
      <c r="Z149" s="71" t="str">
        <f t="shared" si="43"/>
        <v/>
      </c>
      <c r="AA149" s="72" t="str">
        <f t="shared" ca="1" si="44"/>
        <v/>
      </c>
    </row>
    <row r="150" spans="1:27" ht="18.75" customHeight="1" x14ac:dyDescent="0.25">
      <c r="A150" s="64" t="str">
        <f t="shared" si="36"/>
        <v/>
      </c>
      <c r="B150" s="73"/>
      <c r="C150" s="74"/>
      <c r="D150" s="73"/>
      <c r="E150" s="75"/>
      <c r="F150" s="75"/>
      <c r="G150" s="64" t="str">
        <f t="shared" si="37"/>
        <v/>
      </c>
      <c r="H150" s="73"/>
      <c r="I150" s="64" t="str">
        <f t="shared" si="38"/>
        <v/>
      </c>
      <c r="J150" s="74"/>
      <c r="K150" s="73"/>
      <c r="L150" s="73"/>
      <c r="M150" s="74"/>
      <c r="N150" s="73"/>
      <c r="O150" s="73"/>
      <c r="P150" s="73"/>
      <c r="Q150" s="68" t="str">
        <f t="shared" si="39"/>
        <v/>
      </c>
      <c r="R150" s="76"/>
      <c r="S150" s="77"/>
      <c r="T150" s="73"/>
      <c r="U150" s="64" t="str">
        <f t="shared" ca="1" si="40"/>
        <v/>
      </c>
      <c r="V150" s="64" t="str">
        <f t="shared" si="41"/>
        <v/>
      </c>
      <c r="W150" s="64" t="str">
        <f t="shared" si="42"/>
        <v/>
      </c>
      <c r="X150" s="64" t="str">
        <f>IF(E150="","",IF(AND(YEAR(E150)=Lịch!$T$2,ROUNDUP(MONTH(E150)/3,0)=Lịch!$W$2),MAX(X$6:X149)+1,""))</f>
        <v/>
      </c>
      <c r="Y150" s="74"/>
      <c r="Z150" s="71" t="str">
        <f t="shared" si="43"/>
        <v/>
      </c>
      <c r="AA150" s="72" t="str">
        <f t="shared" ca="1" si="44"/>
        <v/>
      </c>
    </row>
    <row r="151" spans="1:27" ht="18.75" customHeight="1" x14ac:dyDescent="0.25">
      <c r="A151" s="64" t="str">
        <f t="shared" si="36"/>
        <v/>
      </c>
      <c r="B151" s="65"/>
      <c r="C151" s="66"/>
      <c r="D151" s="65"/>
      <c r="E151" s="67"/>
      <c r="F151" s="67"/>
      <c r="G151" s="64" t="str">
        <f t="shared" si="37"/>
        <v/>
      </c>
      <c r="H151" s="65"/>
      <c r="I151" s="64" t="str">
        <f t="shared" si="38"/>
        <v/>
      </c>
      <c r="J151" s="66"/>
      <c r="K151" s="65"/>
      <c r="L151" s="65"/>
      <c r="M151" s="66"/>
      <c r="N151" s="65"/>
      <c r="O151" s="65"/>
      <c r="P151" s="65"/>
      <c r="Q151" s="68" t="str">
        <f t="shared" si="39"/>
        <v/>
      </c>
      <c r="R151" s="69"/>
      <c r="S151" s="70"/>
      <c r="T151" s="65"/>
      <c r="U151" s="64" t="str">
        <f t="shared" ca="1" si="40"/>
        <v/>
      </c>
      <c r="V151" s="64" t="str">
        <f t="shared" si="41"/>
        <v/>
      </c>
      <c r="W151" s="64" t="str">
        <f t="shared" si="42"/>
        <v/>
      </c>
      <c r="X151" s="64" t="str">
        <f>IF(E151="","",IF(AND(YEAR(E151)=Lịch!$T$2,ROUNDUP(MONTH(E151)/3,0)=Lịch!$W$2),MAX(X$6:X150)+1,""))</f>
        <v/>
      </c>
      <c r="Y151" s="66"/>
      <c r="Z151" s="71" t="str">
        <f t="shared" si="43"/>
        <v/>
      </c>
      <c r="AA151" s="72" t="str">
        <f t="shared" ca="1" si="44"/>
        <v/>
      </c>
    </row>
    <row r="152" spans="1:27" ht="18.75" customHeight="1" x14ac:dyDescent="0.25">
      <c r="A152" s="64" t="str">
        <f t="shared" si="36"/>
        <v/>
      </c>
      <c r="B152" s="73"/>
      <c r="C152" s="74"/>
      <c r="D152" s="73"/>
      <c r="E152" s="75"/>
      <c r="F152" s="75"/>
      <c r="G152" s="64" t="str">
        <f t="shared" si="37"/>
        <v/>
      </c>
      <c r="H152" s="73"/>
      <c r="I152" s="64" t="str">
        <f t="shared" si="38"/>
        <v/>
      </c>
      <c r="J152" s="74"/>
      <c r="K152" s="73"/>
      <c r="L152" s="73"/>
      <c r="M152" s="74"/>
      <c r="N152" s="73"/>
      <c r="O152" s="73"/>
      <c r="P152" s="73"/>
      <c r="Q152" s="68" t="str">
        <f t="shared" si="39"/>
        <v/>
      </c>
      <c r="R152" s="76"/>
      <c r="S152" s="77"/>
      <c r="T152" s="73"/>
      <c r="U152" s="64" t="str">
        <f t="shared" ca="1" si="40"/>
        <v/>
      </c>
      <c r="V152" s="64" t="str">
        <f t="shared" si="41"/>
        <v/>
      </c>
      <c r="W152" s="64" t="str">
        <f t="shared" si="42"/>
        <v/>
      </c>
      <c r="X152" s="64" t="str">
        <f>IF(E152="","",IF(AND(YEAR(E152)=Lịch!$T$2,ROUNDUP(MONTH(E152)/3,0)=Lịch!$W$2),MAX(X$6:X151)+1,""))</f>
        <v/>
      </c>
      <c r="Y152" s="74"/>
      <c r="Z152" s="71" t="str">
        <f t="shared" si="43"/>
        <v/>
      </c>
      <c r="AA152" s="72" t="str">
        <f t="shared" ca="1" si="44"/>
        <v/>
      </c>
    </row>
    <row r="153" spans="1:27" ht="18.75" customHeight="1" x14ac:dyDescent="0.25">
      <c r="A153" s="64" t="str">
        <f t="shared" si="36"/>
        <v/>
      </c>
      <c r="B153" s="65"/>
      <c r="C153" s="66"/>
      <c r="D153" s="65"/>
      <c r="E153" s="67"/>
      <c r="F153" s="67"/>
      <c r="G153" s="64" t="str">
        <f t="shared" si="37"/>
        <v/>
      </c>
      <c r="H153" s="65"/>
      <c r="I153" s="64" t="str">
        <f t="shared" si="38"/>
        <v/>
      </c>
      <c r="J153" s="66"/>
      <c r="K153" s="65"/>
      <c r="L153" s="65"/>
      <c r="M153" s="66"/>
      <c r="N153" s="65"/>
      <c r="O153" s="65"/>
      <c r="P153" s="65"/>
      <c r="Q153" s="68" t="str">
        <f t="shared" si="39"/>
        <v/>
      </c>
      <c r="R153" s="69"/>
      <c r="S153" s="70"/>
      <c r="T153" s="65"/>
      <c r="U153" s="64" t="str">
        <f t="shared" ca="1" si="40"/>
        <v/>
      </c>
      <c r="V153" s="64" t="str">
        <f t="shared" si="41"/>
        <v/>
      </c>
      <c r="W153" s="64" t="str">
        <f t="shared" si="42"/>
        <v/>
      </c>
      <c r="X153" s="64" t="str">
        <f>IF(E153="","",IF(AND(YEAR(E153)=Lịch!$T$2,ROUNDUP(MONTH(E153)/3,0)=Lịch!$W$2),MAX(X$6:X152)+1,""))</f>
        <v/>
      </c>
      <c r="Y153" s="66"/>
      <c r="Z153" s="71" t="str">
        <f t="shared" si="43"/>
        <v/>
      </c>
      <c r="AA153" s="72" t="str">
        <f t="shared" ca="1" si="44"/>
        <v/>
      </c>
    </row>
    <row r="154" spans="1:27" ht="18.75" customHeight="1" x14ac:dyDescent="0.25">
      <c r="A154" s="64" t="str">
        <f t="shared" si="36"/>
        <v/>
      </c>
      <c r="B154" s="73"/>
      <c r="C154" s="74"/>
      <c r="D154" s="73"/>
      <c r="E154" s="75"/>
      <c r="F154" s="75"/>
      <c r="G154" s="64" t="str">
        <f t="shared" si="37"/>
        <v/>
      </c>
      <c r="H154" s="73"/>
      <c r="I154" s="64" t="str">
        <f t="shared" si="38"/>
        <v/>
      </c>
      <c r="J154" s="74"/>
      <c r="K154" s="73"/>
      <c r="L154" s="73"/>
      <c r="M154" s="74"/>
      <c r="N154" s="73"/>
      <c r="O154" s="73"/>
      <c r="P154" s="73"/>
      <c r="Q154" s="68" t="str">
        <f t="shared" si="39"/>
        <v/>
      </c>
      <c r="R154" s="76"/>
      <c r="S154" s="77"/>
      <c r="T154" s="73"/>
      <c r="U154" s="64" t="str">
        <f t="shared" ca="1" si="40"/>
        <v/>
      </c>
      <c r="V154" s="64" t="str">
        <f t="shared" si="41"/>
        <v/>
      </c>
      <c r="W154" s="64" t="str">
        <f t="shared" si="42"/>
        <v/>
      </c>
      <c r="X154" s="64" t="str">
        <f>IF(E154="","",IF(AND(YEAR(E154)=Lịch!$T$2,ROUNDUP(MONTH(E154)/3,0)=Lịch!$W$2),MAX(X$6:X153)+1,""))</f>
        <v/>
      </c>
      <c r="Y154" s="74"/>
      <c r="Z154" s="71" t="str">
        <f t="shared" si="43"/>
        <v/>
      </c>
      <c r="AA154" s="72" t="str">
        <f t="shared" ca="1" si="44"/>
        <v/>
      </c>
    </row>
    <row r="155" spans="1:27" ht="18.75" customHeight="1" x14ac:dyDescent="0.25">
      <c r="A155" s="64" t="str">
        <f t="shared" si="36"/>
        <v/>
      </c>
      <c r="B155" s="65"/>
      <c r="C155" s="66"/>
      <c r="D155" s="65"/>
      <c r="E155" s="67"/>
      <c r="F155" s="67"/>
      <c r="G155" s="64" t="str">
        <f t="shared" si="37"/>
        <v/>
      </c>
      <c r="H155" s="65"/>
      <c r="I155" s="64" t="str">
        <f t="shared" si="38"/>
        <v/>
      </c>
      <c r="J155" s="66"/>
      <c r="K155" s="65"/>
      <c r="L155" s="65"/>
      <c r="M155" s="66"/>
      <c r="N155" s="65"/>
      <c r="O155" s="65"/>
      <c r="P155" s="65"/>
      <c r="Q155" s="68" t="str">
        <f t="shared" si="39"/>
        <v/>
      </c>
      <c r="R155" s="69"/>
      <c r="S155" s="70"/>
      <c r="T155" s="65"/>
      <c r="U155" s="64" t="str">
        <f t="shared" ca="1" si="40"/>
        <v/>
      </c>
      <c r="V155" s="64" t="str">
        <f t="shared" si="41"/>
        <v/>
      </c>
      <c r="W155" s="64" t="str">
        <f t="shared" si="42"/>
        <v/>
      </c>
      <c r="X155" s="64" t="str">
        <f>IF(E155="","",IF(AND(YEAR(E155)=Lịch!$T$2,ROUNDUP(MONTH(E155)/3,0)=Lịch!$W$2),MAX(X$6:X154)+1,""))</f>
        <v/>
      </c>
      <c r="Y155" s="66"/>
      <c r="Z155" s="71" t="str">
        <f t="shared" si="43"/>
        <v/>
      </c>
      <c r="AA155" s="72" t="str">
        <f t="shared" ca="1" si="44"/>
        <v/>
      </c>
    </row>
    <row r="156" spans="1:27" ht="18.75" customHeight="1" x14ac:dyDescent="0.25">
      <c r="A156" s="64" t="str">
        <f t="shared" si="36"/>
        <v/>
      </c>
      <c r="B156" s="73"/>
      <c r="C156" s="74"/>
      <c r="D156" s="73"/>
      <c r="E156" s="75"/>
      <c r="F156" s="75"/>
      <c r="G156" s="64" t="str">
        <f t="shared" si="37"/>
        <v/>
      </c>
      <c r="H156" s="73"/>
      <c r="I156" s="64" t="str">
        <f t="shared" si="38"/>
        <v/>
      </c>
      <c r="J156" s="74"/>
      <c r="K156" s="73"/>
      <c r="L156" s="73"/>
      <c r="M156" s="74"/>
      <c r="N156" s="73"/>
      <c r="O156" s="73"/>
      <c r="P156" s="73"/>
      <c r="Q156" s="68" t="str">
        <f t="shared" si="39"/>
        <v/>
      </c>
      <c r="R156" s="76"/>
      <c r="S156" s="77"/>
      <c r="T156" s="73"/>
      <c r="U156" s="64" t="str">
        <f t="shared" ca="1" si="40"/>
        <v/>
      </c>
      <c r="V156" s="64" t="str">
        <f t="shared" si="41"/>
        <v/>
      </c>
      <c r="W156" s="64" t="str">
        <f t="shared" si="42"/>
        <v/>
      </c>
      <c r="X156" s="64" t="str">
        <f>IF(E156="","",IF(AND(YEAR(E156)=Lịch!$T$2,ROUNDUP(MONTH(E156)/3,0)=Lịch!$W$2),MAX(X$6:X155)+1,""))</f>
        <v/>
      </c>
      <c r="Y156" s="74"/>
      <c r="Z156" s="71" t="str">
        <f t="shared" si="43"/>
        <v/>
      </c>
      <c r="AA156" s="72" t="str">
        <f t="shared" ca="1" si="44"/>
        <v/>
      </c>
    </row>
    <row r="157" spans="1:27" ht="18.75" customHeight="1" x14ac:dyDescent="0.25">
      <c r="A157" s="64" t="str">
        <f t="shared" si="36"/>
        <v/>
      </c>
      <c r="B157" s="65"/>
      <c r="C157" s="66"/>
      <c r="D157" s="65"/>
      <c r="E157" s="67"/>
      <c r="F157" s="67"/>
      <c r="G157" s="64" t="str">
        <f t="shared" si="37"/>
        <v/>
      </c>
      <c r="H157" s="65"/>
      <c r="I157" s="64" t="str">
        <f t="shared" si="38"/>
        <v/>
      </c>
      <c r="J157" s="66"/>
      <c r="K157" s="65"/>
      <c r="L157" s="65"/>
      <c r="M157" s="66"/>
      <c r="N157" s="65"/>
      <c r="O157" s="65"/>
      <c r="P157" s="65"/>
      <c r="Q157" s="68" t="str">
        <f t="shared" si="39"/>
        <v/>
      </c>
      <c r="R157" s="69"/>
      <c r="S157" s="70"/>
      <c r="T157" s="65"/>
      <c r="U157" s="64" t="str">
        <f t="shared" ca="1" si="40"/>
        <v/>
      </c>
      <c r="V157" s="64" t="str">
        <f t="shared" si="41"/>
        <v/>
      </c>
      <c r="W157" s="64" t="str">
        <f t="shared" si="42"/>
        <v/>
      </c>
      <c r="X157" s="64" t="str">
        <f>IF(E157="","",IF(AND(YEAR(E157)=Lịch!$T$2,ROUNDUP(MONTH(E157)/3,0)=Lịch!$W$2),MAX(X$6:X156)+1,""))</f>
        <v/>
      </c>
      <c r="Y157" s="66"/>
      <c r="Z157" s="71" t="str">
        <f t="shared" si="43"/>
        <v/>
      </c>
      <c r="AA157" s="72" t="str">
        <f t="shared" ca="1" si="44"/>
        <v/>
      </c>
    </row>
    <row r="158" spans="1:27" ht="18.75" customHeight="1" x14ac:dyDescent="0.25">
      <c r="A158" s="64" t="str">
        <f t="shared" si="36"/>
        <v/>
      </c>
      <c r="B158" s="73"/>
      <c r="C158" s="74"/>
      <c r="D158" s="73"/>
      <c r="E158" s="75"/>
      <c r="F158" s="75"/>
      <c r="G158" s="64" t="str">
        <f t="shared" si="37"/>
        <v/>
      </c>
      <c r="H158" s="73"/>
      <c r="I158" s="64" t="str">
        <f t="shared" si="38"/>
        <v/>
      </c>
      <c r="J158" s="74"/>
      <c r="K158" s="73"/>
      <c r="L158" s="73"/>
      <c r="M158" s="74"/>
      <c r="N158" s="73"/>
      <c r="O158" s="73"/>
      <c r="P158" s="73"/>
      <c r="Q158" s="68" t="str">
        <f t="shared" si="39"/>
        <v/>
      </c>
      <c r="R158" s="76"/>
      <c r="S158" s="77"/>
      <c r="T158" s="73"/>
      <c r="U158" s="64" t="str">
        <f t="shared" ca="1" si="40"/>
        <v/>
      </c>
      <c r="V158" s="64" t="str">
        <f t="shared" si="41"/>
        <v/>
      </c>
      <c r="W158" s="64" t="str">
        <f t="shared" si="42"/>
        <v/>
      </c>
      <c r="X158" s="64" t="str">
        <f>IF(E158="","",IF(AND(YEAR(E158)=Lịch!$T$2,ROUNDUP(MONTH(E158)/3,0)=Lịch!$W$2),MAX(X$6:X157)+1,""))</f>
        <v/>
      </c>
      <c r="Y158" s="74"/>
      <c r="Z158" s="71" t="str">
        <f t="shared" si="43"/>
        <v/>
      </c>
      <c r="AA158" s="72" t="str">
        <f t="shared" ca="1" si="44"/>
        <v/>
      </c>
    </row>
    <row r="159" spans="1:27" ht="18.75" customHeight="1" x14ac:dyDescent="0.25">
      <c r="A159" s="64" t="str">
        <f t="shared" si="36"/>
        <v/>
      </c>
      <c r="B159" s="65"/>
      <c r="C159" s="66"/>
      <c r="D159" s="65"/>
      <c r="E159" s="67"/>
      <c r="F159" s="67"/>
      <c r="G159" s="64" t="str">
        <f t="shared" si="37"/>
        <v/>
      </c>
      <c r="H159" s="65"/>
      <c r="I159" s="64" t="str">
        <f t="shared" si="38"/>
        <v/>
      </c>
      <c r="J159" s="66"/>
      <c r="K159" s="65"/>
      <c r="L159" s="65"/>
      <c r="M159" s="66"/>
      <c r="N159" s="65"/>
      <c r="O159" s="65"/>
      <c r="P159" s="65"/>
      <c r="Q159" s="68" t="str">
        <f t="shared" si="39"/>
        <v/>
      </c>
      <c r="R159" s="69"/>
      <c r="S159" s="70"/>
      <c r="T159" s="65"/>
      <c r="U159" s="64" t="str">
        <f t="shared" ca="1" si="40"/>
        <v/>
      </c>
      <c r="V159" s="64" t="str">
        <f t="shared" si="41"/>
        <v/>
      </c>
      <c r="W159" s="64" t="str">
        <f t="shared" si="42"/>
        <v/>
      </c>
      <c r="X159" s="64" t="str">
        <f>IF(E159="","",IF(AND(YEAR(E159)=Lịch!$T$2,ROUNDUP(MONTH(E159)/3,0)=Lịch!$W$2),MAX(X$6:X158)+1,""))</f>
        <v/>
      </c>
      <c r="Y159" s="66"/>
      <c r="Z159" s="71" t="str">
        <f t="shared" si="43"/>
        <v/>
      </c>
      <c r="AA159" s="72" t="str">
        <f t="shared" ca="1" si="44"/>
        <v/>
      </c>
    </row>
    <row r="160" spans="1:27" ht="18.75" customHeight="1" x14ac:dyDescent="0.25">
      <c r="A160" s="64" t="str">
        <f t="shared" si="36"/>
        <v/>
      </c>
      <c r="B160" s="73"/>
      <c r="C160" s="74"/>
      <c r="D160" s="73"/>
      <c r="E160" s="75"/>
      <c r="F160" s="75"/>
      <c r="G160" s="64" t="str">
        <f t="shared" si="37"/>
        <v/>
      </c>
      <c r="H160" s="73"/>
      <c r="I160" s="64" t="str">
        <f t="shared" si="38"/>
        <v/>
      </c>
      <c r="J160" s="74"/>
      <c r="K160" s="73"/>
      <c r="L160" s="73"/>
      <c r="M160" s="74"/>
      <c r="N160" s="73"/>
      <c r="O160" s="73"/>
      <c r="P160" s="73"/>
      <c r="Q160" s="68" t="str">
        <f t="shared" si="39"/>
        <v/>
      </c>
      <c r="R160" s="76"/>
      <c r="S160" s="77"/>
      <c r="T160" s="73"/>
      <c r="U160" s="64" t="str">
        <f t="shared" ca="1" si="40"/>
        <v/>
      </c>
      <c r="V160" s="64" t="str">
        <f t="shared" si="41"/>
        <v/>
      </c>
      <c r="W160" s="64" t="str">
        <f t="shared" si="42"/>
        <v/>
      </c>
      <c r="X160" s="64" t="str">
        <f>IF(E160="","",IF(AND(YEAR(E160)=Lịch!$T$2,ROUNDUP(MONTH(E160)/3,0)=Lịch!$W$2),MAX(X$6:X159)+1,""))</f>
        <v/>
      </c>
      <c r="Y160" s="74"/>
      <c r="Z160" s="71" t="str">
        <f t="shared" si="43"/>
        <v/>
      </c>
      <c r="AA160" s="72" t="str">
        <f t="shared" ca="1" si="44"/>
        <v/>
      </c>
    </row>
    <row r="161" spans="1:27" ht="18.75" customHeight="1" x14ac:dyDescent="0.25">
      <c r="A161" s="64" t="str">
        <f t="shared" si="36"/>
        <v/>
      </c>
      <c r="B161" s="65"/>
      <c r="C161" s="66"/>
      <c r="D161" s="65"/>
      <c r="E161" s="67"/>
      <c r="F161" s="67"/>
      <c r="G161" s="64" t="str">
        <f t="shared" si="37"/>
        <v/>
      </c>
      <c r="H161" s="65"/>
      <c r="I161" s="64" t="str">
        <f t="shared" si="38"/>
        <v/>
      </c>
      <c r="J161" s="66"/>
      <c r="K161" s="65"/>
      <c r="L161" s="65"/>
      <c r="M161" s="66"/>
      <c r="N161" s="65"/>
      <c r="O161" s="65"/>
      <c r="P161" s="65"/>
      <c r="Q161" s="68" t="str">
        <f t="shared" si="39"/>
        <v/>
      </c>
      <c r="R161" s="69"/>
      <c r="S161" s="70"/>
      <c r="T161" s="65"/>
      <c r="U161" s="64" t="str">
        <f t="shared" ca="1" si="40"/>
        <v/>
      </c>
      <c r="V161" s="64" t="str">
        <f t="shared" si="41"/>
        <v/>
      </c>
      <c r="W161" s="64" t="str">
        <f t="shared" si="42"/>
        <v/>
      </c>
      <c r="X161" s="64" t="str">
        <f>IF(E161="","",IF(AND(YEAR(E161)=Lịch!$T$2,ROUNDUP(MONTH(E161)/3,0)=Lịch!$W$2),MAX(X$6:X160)+1,""))</f>
        <v/>
      </c>
      <c r="Y161" s="66"/>
      <c r="Z161" s="71" t="str">
        <f t="shared" si="43"/>
        <v/>
      </c>
      <c r="AA161" s="72" t="str">
        <f t="shared" ca="1" si="44"/>
        <v/>
      </c>
    </row>
    <row r="162" spans="1:27" ht="18.75" customHeight="1" x14ac:dyDescent="0.25">
      <c r="A162" s="64" t="str">
        <f t="shared" si="36"/>
        <v/>
      </c>
      <c r="B162" s="73"/>
      <c r="C162" s="74"/>
      <c r="D162" s="73"/>
      <c r="E162" s="75"/>
      <c r="F162" s="75"/>
      <c r="G162" s="64" t="str">
        <f t="shared" si="37"/>
        <v/>
      </c>
      <c r="H162" s="73"/>
      <c r="I162" s="64" t="str">
        <f t="shared" si="38"/>
        <v/>
      </c>
      <c r="J162" s="74"/>
      <c r="K162" s="73"/>
      <c r="L162" s="73"/>
      <c r="M162" s="74"/>
      <c r="N162" s="73"/>
      <c r="O162" s="73"/>
      <c r="P162" s="73"/>
      <c r="Q162" s="68" t="str">
        <f t="shared" si="39"/>
        <v/>
      </c>
      <c r="R162" s="76"/>
      <c r="S162" s="77"/>
      <c r="T162" s="73"/>
      <c r="U162" s="64" t="str">
        <f t="shared" ca="1" si="40"/>
        <v/>
      </c>
      <c r="V162" s="64" t="str">
        <f t="shared" si="41"/>
        <v/>
      </c>
      <c r="W162" s="64" t="str">
        <f t="shared" si="42"/>
        <v/>
      </c>
      <c r="X162" s="64" t="str">
        <f>IF(E162="","",IF(AND(YEAR(E162)=Lịch!$T$2,ROUNDUP(MONTH(E162)/3,0)=Lịch!$W$2),MAX(X$6:X161)+1,""))</f>
        <v/>
      </c>
      <c r="Y162" s="74"/>
      <c r="Z162" s="71" t="str">
        <f t="shared" si="43"/>
        <v/>
      </c>
      <c r="AA162" s="72" t="str">
        <f t="shared" ca="1" si="44"/>
        <v/>
      </c>
    </row>
    <row r="163" spans="1:27" ht="18.75" customHeight="1" x14ac:dyDescent="0.25">
      <c r="A163" s="64" t="str">
        <f t="shared" si="36"/>
        <v/>
      </c>
      <c r="B163" s="65"/>
      <c r="C163" s="66"/>
      <c r="D163" s="65"/>
      <c r="E163" s="67"/>
      <c r="F163" s="67"/>
      <c r="G163" s="64" t="str">
        <f t="shared" si="37"/>
        <v/>
      </c>
      <c r="H163" s="65"/>
      <c r="I163" s="64" t="str">
        <f t="shared" si="38"/>
        <v/>
      </c>
      <c r="J163" s="66"/>
      <c r="K163" s="65"/>
      <c r="L163" s="65"/>
      <c r="M163" s="66"/>
      <c r="N163" s="65"/>
      <c r="O163" s="65"/>
      <c r="P163" s="65"/>
      <c r="Q163" s="68" t="str">
        <f t="shared" si="39"/>
        <v/>
      </c>
      <c r="R163" s="69"/>
      <c r="S163" s="70"/>
      <c r="T163" s="65"/>
      <c r="U163" s="64" t="str">
        <f t="shared" ca="1" si="40"/>
        <v/>
      </c>
      <c r="V163" s="64" t="str">
        <f t="shared" si="41"/>
        <v/>
      </c>
      <c r="W163" s="64" t="str">
        <f t="shared" si="42"/>
        <v/>
      </c>
      <c r="X163" s="64" t="str">
        <f>IF(E163="","",IF(AND(YEAR(E163)=Lịch!$T$2,ROUNDUP(MONTH(E163)/3,0)=Lịch!$W$2),MAX(X$6:X162)+1,""))</f>
        <v/>
      </c>
      <c r="Y163" s="66"/>
      <c r="Z163" s="71" t="str">
        <f t="shared" si="43"/>
        <v/>
      </c>
      <c r="AA163" s="72" t="str">
        <f t="shared" ca="1" si="44"/>
        <v/>
      </c>
    </row>
    <row r="164" spans="1:27" ht="18.75" customHeight="1" x14ac:dyDescent="0.25">
      <c r="A164" s="64" t="str">
        <f t="shared" si="36"/>
        <v/>
      </c>
      <c r="B164" s="73"/>
      <c r="C164" s="74"/>
      <c r="D164" s="73"/>
      <c r="E164" s="75"/>
      <c r="F164" s="75"/>
      <c r="G164" s="64" t="str">
        <f t="shared" si="37"/>
        <v/>
      </c>
      <c r="H164" s="73"/>
      <c r="I164" s="64" t="str">
        <f t="shared" si="38"/>
        <v/>
      </c>
      <c r="J164" s="74"/>
      <c r="K164" s="73"/>
      <c r="L164" s="73"/>
      <c r="M164" s="74"/>
      <c r="N164" s="73"/>
      <c r="O164" s="73"/>
      <c r="P164" s="73"/>
      <c r="Q164" s="68" t="str">
        <f t="shared" si="39"/>
        <v/>
      </c>
      <c r="R164" s="76"/>
      <c r="S164" s="77"/>
      <c r="T164" s="73"/>
      <c r="U164" s="64" t="str">
        <f t="shared" ca="1" si="40"/>
        <v/>
      </c>
      <c r="V164" s="64" t="str">
        <f t="shared" si="41"/>
        <v/>
      </c>
      <c r="W164" s="64" t="str">
        <f t="shared" si="42"/>
        <v/>
      </c>
      <c r="X164" s="64" t="str">
        <f>IF(E164="","",IF(AND(YEAR(E164)=Lịch!$T$2,ROUNDUP(MONTH(E164)/3,0)=Lịch!$W$2),MAX(X$6:X163)+1,""))</f>
        <v/>
      </c>
      <c r="Y164" s="74"/>
      <c r="Z164" s="71" t="str">
        <f t="shared" si="43"/>
        <v/>
      </c>
      <c r="AA164" s="72" t="str">
        <f t="shared" ca="1" si="44"/>
        <v/>
      </c>
    </row>
    <row r="165" spans="1:27" ht="18.75" customHeight="1" x14ac:dyDescent="0.25">
      <c r="A165" s="64" t="str">
        <f t="shared" si="36"/>
        <v/>
      </c>
      <c r="B165" s="65"/>
      <c r="C165" s="66"/>
      <c r="D165" s="65"/>
      <c r="E165" s="67"/>
      <c r="F165" s="67"/>
      <c r="G165" s="64" t="str">
        <f t="shared" si="37"/>
        <v/>
      </c>
      <c r="H165" s="65"/>
      <c r="I165" s="64" t="str">
        <f t="shared" si="38"/>
        <v/>
      </c>
      <c r="J165" s="66"/>
      <c r="K165" s="65"/>
      <c r="L165" s="65"/>
      <c r="M165" s="66"/>
      <c r="N165" s="65"/>
      <c r="O165" s="65"/>
      <c r="P165" s="65"/>
      <c r="Q165" s="68" t="str">
        <f t="shared" si="39"/>
        <v/>
      </c>
      <c r="R165" s="69"/>
      <c r="S165" s="70"/>
      <c r="T165" s="65"/>
      <c r="U165" s="64" t="str">
        <f t="shared" ca="1" si="40"/>
        <v/>
      </c>
      <c r="V165" s="64" t="str">
        <f t="shared" si="41"/>
        <v/>
      </c>
      <c r="W165" s="64" t="str">
        <f t="shared" si="42"/>
        <v/>
      </c>
      <c r="X165" s="64" t="str">
        <f>IF(E165="","",IF(AND(YEAR(E165)=Lịch!$T$2,ROUNDUP(MONTH(E165)/3,0)=Lịch!$W$2),MAX(X$6:X164)+1,""))</f>
        <v/>
      </c>
      <c r="Y165" s="66"/>
      <c r="Z165" s="71" t="str">
        <f t="shared" si="43"/>
        <v/>
      </c>
      <c r="AA165" s="72" t="str">
        <f t="shared" ca="1" si="44"/>
        <v/>
      </c>
    </row>
    <row r="166" spans="1:27" ht="18.75" customHeight="1" x14ac:dyDescent="0.25">
      <c r="A166" s="64" t="str">
        <f t="shared" si="36"/>
        <v/>
      </c>
      <c r="B166" s="73"/>
      <c r="C166" s="74"/>
      <c r="D166" s="73"/>
      <c r="E166" s="75"/>
      <c r="F166" s="75"/>
      <c r="G166" s="64" t="str">
        <f t="shared" si="37"/>
        <v/>
      </c>
      <c r="H166" s="73"/>
      <c r="I166" s="64" t="str">
        <f t="shared" si="38"/>
        <v/>
      </c>
      <c r="J166" s="74"/>
      <c r="K166" s="73"/>
      <c r="L166" s="73"/>
      <c r="M166" s="74"/>
      <c r="N166" s="73"/>
      <c r="O166" s="73"/>
      <c r="P166" s="73"/>
      <c r="Q166" s="68" t="str">
        <f t="shared" si="39"/>
        <v/>
      </c>
      <c r="R166" s="76"/>
      <c r="S166" s="77"/>
      <c r="T166" s="73"/>
      <c r="U166" s="64" t="str">
        <f t="shared" ca="1" si="40"/>
        <v/>
      </c>
      <c r="V166" s="64" t="str">
        <f t="shared" si="41"/>
        <v/>
      </c>
      <c r="W166" s="64" t="str">
        <f t="shared" si="42"/>
        <v/>
      </c>
      <c r="X166" s="64" t="str">
        <f>IF(E166="","",IF(AND(YEAR(E166)=Lịch!$T$2,ROUNDUP(MONTH(E166)/3,0)=Lịch!$W$2),MAX(X$6:X165)+1,""))</f>
        <v/>
      </c>
      <c r="Y166" s="74"/>
      <c r="Z166" s="71" t="str">
        <f t="shared" si="43"/>
        <v/>
      </c>
      <c r="AA166" s="72" t="str">
        <f t="shared" ca="1" si="44"/>
        <v/>
      </c>
    </row>
    <row r="167" spans="1:27" ht="18.75" customHeight="1" x14ac:dyDescent="0.25">
      <c r="A167" s="64" t="str">
        <f t="shared" ref="A167:A198" si="45">IF(C167="","",ROW()-6)</f>
        <v/>
      </c>
      <c r="B167" s="65"/>
      <c r="C167" s="66"/>
      <c r="D167" s="65"/>
      <c r="E167" s="67"/>
      <c r="F167" s="67"/>
      <c r="G167" s="64" t="str">
        <f t="shared" ref="G167:G198" si="46">IF(OR(E167="",F167=""),"",NETWORKDAYS(E167,F167))</f>
        <v/>
      </c>
      <c r="H167" s="65"/>
      <c r="I167" s="64" t="str">
        <f t="shared" ref="I167:I198" si="47">IF(OR(G167="",H167=""),"",G167*H167)</f>
        <v/>
      </c>
      <c r="J167" s="66"/>
      <c r="K167" s="65"/>
      <c r="L167" s="65"/>
      <c r="M167" s="66"/>
      <c r="N167" s="65"/>
      <c r="O167" s="65"/>
      <c r="P167" s="65"/>
      <c r="Q167" s="68" t="str">
        <f t="shared" ref="Q167:Q198" si="48">IF(OR(O167="",O167=0,P167=""),"",P167/O167)</f>
        <v/>
      </c>
      <c r="R167" s="69"/>
      <c r="S167" s="70"/>
      <c r="T167" s="65"/>
      <c r="U167" s="64" t="str">
        <f t="shared" ref="U167:U198" ca="1" si="49">IF(C167="","",IF(T167&lt;&gt;"",T167,IF(E167="","Chưa xếp lịch",IF(TODAY()&lt;E167,"Sắp diễn ra",IF(TODAY()&gt;F167,"Đã hoàn thành","Đang diễn ra")))))</f>
        <v/>
      </c>
      <c r="V167" s="64" t="str">
        <f t="shared" ref="V167:V198" si="50">IF(E167="","","Q"&amp;ROUNDUP(MONTH(E167)/3,0))</f>
        <v/>
      </c>
      <c r="W167" s="64" t="str">
        <f t="shared" ref="W167:W198" si="51">IF(E167="","",YEAR(E167))</f>
        <v/>
      </c>
      <c r="X167" s="64" t="str">
        <f>IF(E167="","",IF(AND(YEAR(E167)=Lịch!$T$2,ROUNDUP(MONTH(E167)/3,0)=Lịch!$W$2),MAX(X$6:X166)+1,""))</f>
        <v/>
      </c>
      <c r="Y167" s="66"/>
      <c r="Z167" s="71" t="str">
        <f t="shared" ref="Z167:Z198" si="52">IF(OR(I167="",P167=""),"",I167*P167)</f>
        <v/>
      </c>
      <c r="AA167" s="72" t="str">
        <f t="shared" ref="AA167:AA198" ca="1" si="53">IF(AND(C167&lt;&gt;"",T167="",E167&lt;&gt;"",F167&gt;=TODAY()),E167+ROW()/100000,"")</f>
        <v/>
      </c>
    </row>
    <row r="168" spans="1:27" ht="18.75" customHeight="1" x14ac:dyDescent="0.25">
      <c r="A168" s="64" t="str">
        <f t="shared" si="45"/>
        <v/>
      </c>
      <c r="B168" s="73"/>
      <c r="C168" s="74"/>
      <c r="D168" s="73"/>
      <c r="E168" s="75"/>
      <c r="F168" s="75"/>
      <c r="G168" s="64" t="str">
        <f t="shared" si="46"/>
        <v/>
      </c>
      <c r="H168" s="73"/>
      <c r="I168" s="64" t="str">
        <f t="shared" si="47"/>
        <v/>
      </c>
      <c r="J168" s="74"/>
      <c r="K168" s="73"/>
      <c r="L168" s="73"/>
      <c r="M168" s="74"/>
      <c r="N168" s="73"/>
      <c r="O168" s="73"/>
      <c r="P168" s="73"/>
      <c r="Q168" s="68" t="str">
        <f t="shared" si="48"/>
        <v/>
      </c>
      <c r="R168" s="76"/>
      <c r="S168" s="77"/>
      <c r="T168" s="73"/>
      <c r="U168" s="64" t="str">
        <f t="shared" ca="1" si="49"/>
        <v/>
      </c>
      <c r="V168" s="64" t="str">
        <f t="shared" si="50"/>
        <v/>
      </c>
      <c r="W168" s="64" t="str">
        <f t="shared" si="51"/>
        <v/>
      </c>
      <c r="X168" s="64" t="str">
        <f>IF(E168="","",IF(AND(YEAR(E168)=Lịch!$T$2,ROUNDUP(MONTH(E168)/3,0)=Lịch!$W$2),MAX(X$6:X167)+1,""))</f>
        <v/>
      </c>
      <c r="Y168" s="74"/>
      <c r="Z168" s="71" t="str">
        <f t="shared" si="52"/>
        <v/>
      </c>
      <c r="AA168" s="72" t="str">
        <f t="shared" ca="1" si="53"/>
        <v/>
      </c>
    </row>
    <row r="169" spans="1:27" ht="18.75" customHeight="1" x14ac:dyDescent="0.25">
      <c r="A169" s="64" t="str">
        <f t="shared" si="45"/>
        <v/>
      </c>
      <c r="B169" s="65"/>
      <c r="C169" s="66"/>
      <c r="D169" s="65"/>
      <c r="E169" s="67"/>
      <c r="F169" s="67"/>
      <c r="G169" s="64" t="str">
        <f t="shared" si="46"/>
        <v/>
      </c>
      <c r="H169" s="65"/>
      <c r="I169" s="64" t="str">
        <f t="shared" si="47"/>
        <v/>
      </c>
      <c r="J169" s="66"/>
      <c r="K169" s="65"/>
      <c r="L169" s="65"/>
      <c r="M169" s="66"/>
      <c r="N169" s="65"/>
      <c r="O169" s="65"/>
      <c r="P169" s="65"/>
      <c r="Q169" s="68" t="str">
        <f t="shared" si="48"/>
        <v/>
      </c>
      <c r="R169" s="69"/>
      <c r="S169" s="70"/>
      <c r="T169" s="65"/>
      <c r="U169" s="64" t="str">
        <f t="shared" ca="1" si="49"/>
        <v/>
      </c>
      <c r="V169" s="64" t="str">
        <f t="shared" si="50"/>
        <v/>
      </c>
      <c r="W169" s="64" t="str">
        <f t="shared" si="51"/>
        <v/>
      </c>
      <c r="X169" s="64" t="str">
        <f>IF(E169="","",IF(AND(YEAR(E169)=Lịch!$T$2,ROUNDUP(MONTH(E169)/3,0)=Lịch!$W$2),MAX(X$6:X168)+1,""))</f>
        <v/>
      </c>
      <c r="Y169" s="66"/>
      <c r="Z169" s="71" t="str">
        <f t="shared" si="52"/>
        <v/>
      </c>
      <c r="AA169" s="72" t="str">
        <f t="shared" ca="1" si="53"/>
        <v/>
      </c>
    </row>
    <row r="170" spans="1:27" ht="18.75" customHeight="1" x14ac:dyDescent="0.25">
      <c r="A170" s="64" t="str">
        <f t="shared" si="45"/>
        <v/>
      </c>
      <c r="B170" s="73"/>
      <c r="C170" s="74"/>
      <c r="D170" s="73"/>
      <c r="E170" s="75"/>
      <c r="F170" s="75"/>
      <c r="G170" s="64" t="str">
        <f t="shared" si="46"/>
        <v/>
      </c>
      <c r="H170" s="73"/>
      <c r="I170" s="64" t="str">
        <f t="shared" si="47"/>
        <v/>
      </c>
      <c r="J170" s="74"/>
      <c r="K170" s="73"/>
      <c r="L170" s="73"/>
      <c r="M170" s="74"/>
      <c r="N170" s="73"/>
      <c r="O170" s="73"/>
      <c r="P170" s="73"/>
      <c r="Q170" s="68" t="str">
        <f t="shared" si="48"/>
        <v/>
      </c>
      <c r="R170" s="76"/>
      <c r="S170" s="77"/>
      <c r="T170" s="73"/>
      <c r="U170" s="64" t="str">
        <f t="shared" ca="1" si="49"/>
        <v/>
      </c>
      <c r="V170" s="64" t="str">
        <f t="shared" si="50"/>
        <v/>
      </c>
      <c r="W170" s="64" t="str">
        <f t="shared" si="51"/>
        <v/>
      </c>
      <c r="X170" s="64" t="str">
        <f>IF(E170="","",IF(AND(YEAR(E170)=Lịch!$T$2,ROUNDUP(MONTH(E170)/3,0)=Lịch!$W$2),MAX(X$6:X169)+1,""))</f>
        <v/>
      </c>
      <c r="Y170" s="74"/>
      <c r="Z170" s="71" t="str">
        <f t="shared" si="52"/>
        <v/>
      </c>
      <c r="AA170" s="72" t="str">
        <f t="shared" ca="1" si="53"/>
        <v/>
      </c>
    </row>
    <row r="171" spans="1:27" ht="18.75" customHeight="1" x14ac:dyDescent="0.25">
      <c r="A171" s="64" t="str">
        <f t="shared" si="45"/>
        <v/>
      </c>
      <c r="B171" s="65"/>
      <c r="C171" s="66"/>
      <c r="D171" s="65"/>
      <c r="E171" s="67"/>
      <c r="F171" s="67"/>
      <c r="G171" s="64" t="str">
        <f t="shared" si="46"/>
        <v/>
      </c>
      <c r="H171" s="65"/>
      <c r="I171" s="64" t="str">
        <f t="shared" si="47"/>
        <v/>
      </c>
      <c r="J171" s="66"/>
      <c r="K171" s="65"/>
      <c r="L171" s="65"/>
      <c r="M171" s="66"/>
      <c r="N171" s="65"/>
      <c r="O171" s="65"/>
      <c r="P171" s="65"/>
      <c r="Q171" s="68" t="str">
        <f t="shared" si="48"/>
        <v/>
      </c>
      <c r="R171" s="69"/>
      <c r="S171" s="70"/>
      <c r="T171" s="65"/>
      <c r="U171" s="64" t="str">
        <f t="shared" ca="1" si="49"/>
        <v/>
      </c>
      <c r="V171" s="64" t="str">
        <f t="shared" si="50"/>
        <v/>
      </c>
      <c r="W171" s="64" t="str">
        <f t="shared" si="51"/>
        <v/>
      </c>
      <c r="X171" s="64" t="str">
        <f>IF(E171="","",IF(AND(YEAR(E171)=Lịch!$T$2,ROUNDUP(MONTH(E171)/3,0)=Lịch!$W$2),MAX(X$6:X170)+1,""))</f>
        <v/>
      </c>
      <c r="Y171" s="66"/>
      <c r="Z171" s="71" t="str">
        <f t="shared" si="52"/>
        <v/>
      </c>
      <c r="AA171" s="72" t="str">
        <f t="shared" ca="1" si="53"/>
        <v/>
      </c>
    </row>
    <row r="172" spans="1:27" ht="18.75" customHeight="1" x14ac:dyDescent="0.25">
      <c r="A172" s="64" t="str">
        <f t="shared" si="45"/>
        <v/>
      </c>
      <c r="B172" s="73"/>
      <c r="C172" s="74"/>
      <c r="D172" s="73"/>
      <c r="E172" s="75"/>
      <c r="F172" s="75"/>
      <c r="G172" s="64" t="str">
        <f t="shared" si="46"/>
        <v/>
      </c>
      <c r="H172" s="73"/>
      <c r="I172" s="64" t="str">
        <f t="shared" si="47"/>
        <v/>
      </c>
      <c r="J172" s="74"/>
      <c r="K172" s="73"/>
      <c r="L172" s="73"/>
      <c r="M172" s="74"/>
      <c r="N172" s="73"/>
      <c r="O172" s="73"/>
      <c r="P172" s="73"/>
      <c r="Q172" s="68" t="str">
        <f t="shared" si="48"/>
        <v/>
      </c>
      <c r="R172" s="76"/>
      <c r="S172" s="77"/>
      <c r="T172" s="73"/>
      <c r="U172" s="64" t="str">
        <f t="shared" ca="1" si="49"/>
        <v/>
      </c>
      <c r="V172" s="64" t="str">
        <f t="shared" si="50"/>
        <v/>
      </c>
      <c r="W172" s="64" t="str">
        <f t="shared" si="51"/>
        <v/>
      </c>
      <c r="X172" s="64" t="str">
        <f>IF(E172="","",IF(AND(YEAR(E172)=Lịch!$T$2,ROUNDUP(MONTH(E172)/3,0)=Lịch!$W$2),MAX(X$6:X171)+1,""))</f>
        <v/>
      </c>
      <c r="Y172" s="74"/>
      <c r="Z172" s="71" t="str">
        <f t="shared" si="52"/>
        <v/>
      </c>
      <c r="AA172" s="72" t="str">
        <f t="shared" ca="1" si="53"/>
        <v/>
      </c>
    </row>
    <row r="173" spans="1:27" ht="18.75" customHeight="1" x14ac:dyDescent="0.25">
      <c r="A173" s="64" t="str">
        <f t="shared" si="45"/>
        <v/>
      </c>
      <c r="B173" s="65"/>
      <c r="C173" s="66"/>
      <c r="D173" s="65"/>
      <c r="E173" s="67"/>
      <c r="F173" s="67"/>
      <c r="G173" s="64" t="str">
        <f t="shared" si="46"/>
        <v/>
      </c>
      <c r="H173" s="65"/>
      <c r="I173" s="64" t="str">
        <f t="shared" si="47"/>
        <v/>
      </c>
      <c r="J173" s="66"/>
      <c r="K173" s="65"/>
      <c r="L173" s="65"/>
      <c r="M173" s="66"/>
      <c r="N173" s="65"/>
      <c r="O173" s="65"/>
      <c r="P173" s="65"/>
      <c r="Q173" s="68" t="str">
        <f t="shared" si="48"/>
        <v/>
      </c>
      <c r="R173" s="69"/>
      <c r="S173" s="70"/>
      <c r="T173" s="65"/>
      <c r="U173" s="64" t="str">
        <f t="shared" ca="1" si="49"/>
        <v/>
      </c>
      <c r="V173" s="64" t="str">
        <f t="shared" si="50"/>
        <v/>
      </c>
      <c r="W173" s="64" t="str">
        <f t="shared" si="51"/>
        <v/>
      </c>
      <c r="X173" s="64" t="str">
        <f>IF(E173="","",IF(AND(YEAR(E173)=Lịch!$T$2,ROUNDUP(MONTH(E173)/3,0)=Lịch!$W$2),MAX(X$6:X172)+1,""))</f>
        <v/>
      </c>
      <c r="Y173" s="66"/>
      <c r="Z173" s="71" t="str">
        <f t="shared" si="52"/>
        <v/>
      </c>
      <c r="AA173" s="72" t="str">
        <f t="shared" ca="1" si="53"/>
        <v/>
      </c>
    </row>
    <row r="174" spans="1:27" ht="18.75" customHeight="1" x14ac:dyDescent="0.25">
      <c r="A174" s="64" t="str">
        <f t="shared" si="45"/>
        <v/>
      </c>
      <c r="B174" s="73"/>
      <c r="C174" s="74"/>
      <c r="D174" s="73"/>
      <c r="E174" s="75"/>
      <c r="F174" s="75"/>
      <c r="G174" s="64" t="str">
        <f t="shared" si="46"/>
        <v/>
      </c>
      <c r="H174" s="73"/>
      <c r="I174" s="64" t="str">
        <f t="shared" si="47"/>
        <v/>
      </c>
      <c r="J174" s="74"/>
      <c r="K174" s="73"/>
      <c r="L174" s="73"/>
      <c r="M174" s="74"/>
      <c r="N174" s="73"/>
      <c r="O174" s="73"/>
      <c r="P174" s="73"/>
      <c r="Q174" s="68" t="str">
        <f t="shared" si="48"/>
        <v/>
      </c>
      <c r="R174" s="76"/>
      <c r="S174" s="77"/>
      <c r="T174" s="73"/>
      <c r="U174" s="64" t="str">
        <f t="shared" ca="1" si="49"/>
        <v/>
      </c>
      <c r="V174" s="64" t="str">
        <f t="shared" si="50"/>
        <v/>
      </c>
      <c r="W174" s="64" t="str">
        <f t="shared" si="51"/>
        <v/>
      </c>
      <c r="X174" s="64" t="str">
        <f>IF(E174="","",IF(AND(YEAR(E174)=Lịch!$T$2,ROUNDUP(MONTH(E174)/3,0)=Lịch!$W$2),MAX(X$6:X173)+1,""))</f>
        <v/>
      </c>
      <c r="Y174" s="74"/>
      <c r="Z174" s="71" t="str">
        <f t="shared" si="52"/>
        <v/>
      </c>
      <c r="AA174" s="72" t="str">
        <f t="shared" ca="1" si="53"/>
        <v/>
      </c>
    </row>
    <row r="175" spans="1:27" ht="18.75" customHeight="1" x14ac:dyDescent="0.25">
      <c r="A175" s="64" t="str">
        <f t="shared" si="45"/>
        <v/>
      </c>
      <c r="B175" s="65"/>
      <c r="C175" s="66"/>
      <c r="D175" s="65"/>
      <c r="E175" s="67"/>
      <c r="F175" s="67"/>
      <c r="G175" s="64" t="str">
        <f t="shared" si="46"/>
        <v/>
      </c>
      <c r="H175" s="65"/>
      <c r="I175" s="64" t="str">
        <f t="shared" si="47"/>
        <v/>
      </c>
      <c r="J175" s="66"/>
      <c r="K175" s="65"/>
      <c r="L175" s="65"/>
      <c r="M175" s="66"/>
      <c r="N175" s="65"/>
      <c r="O175" s="65"/>
      <c r="P175" s="65"/>
      <c r="Q175" s="68" t="str">
        <f t="shared" si="48"/>
        <v/>
      </c>
      <c r="R175" s="69"/>
      <c r="S175" s="70"/>
      <c r="T175" s="65"/>
      <c r="U175" s="64" t="str">
        <f t="shared" ca="1" si="49"/>
        <v/>
      </c>
      <c r="V175" s="64" t="str">
        <f t="shared" si="50"/>
        <v/>
      </c>
      <c r="W175" s="64" t="str">
        <f t="shared" si="51"/>
        <v/>
      </c>
      <c r="X175" s="64" t="str">
        <f>IF(E175="","",IF(AND(YEAR(E175)=Lịch!$T$2,ROUNDUP(MONTH(E175)/3,0)=Lịch!$W$2),MAX(X$6:X174)+1,""))</f>
        <v/>
      </c>
      <c r="Y175" s="66"/>
      <c r="Z175" s="71" t="str">
        <f t="shared" si="52"/>
        <v/>
      </c>
      <c r="AA175" s="72" t="str">
        <f t="shared" ca="1" si="53"/>
        <v/>
      </c>
    </row>
    <row r="176" spans="1:27" ht="18.75" customHeight="1" x14ac:dyDescent="0.25">
      <c r="A176" s="64" t="str">
        <f t="shared" si="45"/>
        <v/>
      </c>
      <c r="B176" s="73"/>
      <c r="C176" s="74"/>
      <c r="D176" s="73"/>
      <c r="E176" s="75"/>
      <c r="F176" s="75"/>
      <c r="G176" s="64" t="str">
        <f t="shared" si="46"/>
        <v/>
      </c>
      <c r="H176" s="73"/>
      <c r="I176" s="64" t="str">
        <f t="shared" si="47"/>
        <v/>
      </c>
      <c r="J176" s="74"/>
      <c r="K176" s="73"/>
      <c r="L176" s="73"/>
      <c r="M176" s="74"/>
      <c r="N176" s="73"/>
      <c r="O176" s="73"/>
      <c r="P176" s="73"/>
      <c r="Q176" s="68" t="str">
        <f t="shared" si="48"/>
        <v/>
      </c>
      <c r="R176" s="76"/>
      <c r="S176" s="77"/>
      <c r="T176" s="73"/>
      <c r="U176" s="64" t="str">
        <f t="shared" ca="1" si="49"/>
        <v/>
      </c>
      <c r="V176" s="64" t="str">
        <f t="shared" si="50"/>
        <v/>
      </c>
      <c r="W176" s="64" t="str">
        <f t="shared" si="51"/>
        <v/>
      </c>
      <c r="X176" s="64" t="str">
        <f>IF(E176="","",IF(AND(YEAR(E176)=Lịch!$T$2,ROUNDUP(MONTH(E176)/3,0)=Lịch!$W$2),MAX(X$6:X175)+1,""))</f>
        <v/>
      </c>
      <c r="Y176" s="74"/>
      <c r="Z176" s="71" t="str">
        <f t="shared" si="52"/>
        <v/>
      </c>
      <c r="AA176" s="72" t="str">
        <f t="shared" ca="1" si="53"/>
        <v/>
      </c>
    </row>
    <row r="177" spans="1:27" ht="18.75" customHeight="1" x14ac:dyDescent="0.25">
      <c r="A177" s="64" t="str">
        <f t="shared" si="45"/>
        <v/>
      </c>
      <c r="B177" s="65"/>
      <c r="C177" s="66"/>
      <c r="D177" s="65"/>
      <c r="E177" s="67"/>
      <c r="F177" s="67"/>
      <c r="G177" s="64" t="str">
        <f t="shared" si="46"/>
        <v/>
      </c>
      <c r="H177" s="65"/>
      <c r="I177" s="64" t="str">
        <f t="shared" si="47"/>
        <v/>
      </c>
      <c r="J177" s="66"/>
      <c r="K177" s="65"/>
      <c r="L177" s="65"/>
      <c r="M177" s="66"/>
      <c r="N177" s="65"/>
      <c r="O177" s="65"/>
      <c r="P177" s="65"/>
      <c r="Q177" s="68" t="str">
        <f t="shared" si="48"/>
        <v/>
      </c>
      <c r="R177" s="69"/>
      <c r="S177" s="70"/>
      <c r="T177" s="65"/>
      <c r="U177" s="64" t="str">
        <f t="shared" ca="1" si="49"/>
        <v/>
      </c>
      <c r="V177" s="64" t="str">
        <f t="shared" si="50"/>
        <v/>
      </c>
      <c r="W177" s="64" t="str">
        <f t="shared" si="51"/>
        <v/>
      </c>
      <c r="X177" s="64" t="str">
        <f>IF(E177="","",IF(AND(YEAR(E177)=Lịch!$T$2,ROUNDUP(MONTH(E177)/3,0)=Lịch!$W$2),MAX(X$6:X176)+1,""))</f>
        <v/>
      </c>
      <c r="Y177" s="66"/>
      <c r="Z177" s="71" t="str">
        <f t="shared" si="52"/>
        <v/>
      </c>
      <c r="AA177" s="72" t="str">
        <f t="shared" ca="1" si="53"/>
        <v/>
      </c>
    </row>
    <row r="178" spans="1:27" ht="18.75" customHeight="1" x14ac:dyDescent="0.25">
      <c r="A178" s="64" t="str">
        <f t="shared" si="45"/>
        <v/>
      </c>
      <c r="B178" s="73"/>
      <c r="C178" s="74"/>
      <c r="D178" s="73"/>
      <c r="E178" s="75"/>
      <c r="F178" s="75"/>
      <c r="G178" s="64" t="str">
        <f t="shared" si="46"/>
        <v/>
      </c>
      <c r="H178" s="73"/>
      <c r="I178" s="64" t="str">
        <f t="shared" si="47"/>
        <v/>
      </c>
      <c r="J178" s="74"/>
      <c r="K178" s="73"/>
      <c r="L178" s="73"/>
      <c r="M178" s="74"/>
      <c r="N178" s="73"/>
      <c r="O178" s="73"/>
      <c r="P178" s="73"/>
      <c r="Q178" s="68" t="str">
        <f t="shared" si="48"/>
        <v/>
      </c>
      <c r="R178" s="76"/>
      <c r="S178" s="77"/>
      <c r="T178" s="73"/>
      <c r="U178" s="64" t="str">
        <f t="shared" ca="1" si="49"/>
        <v/>
      </c>
      <c r="V178" s="64" t="str">
        <f t="shared" si="50"/>
        <v/>
      </c>
      <c r="W178" s="64" t="str">
        <f t="shared" si="51"/>
        <v/>
      </c>
      <c r="X178" s="64" t="str">
        <f>IF(E178="","",IF(AND(YEAR(E178)=Lịch!$T$2,ROUNDUP(MONTH(E178)/3,0)=Lịch!$W$2),MAX(X$6:X177)+1,""))</f>
        <v/>
      </c>
      <c r="Y178" s="74"/>
      <c r="Z178" s="71" t="str">
        <f t="shared" si="52"/>
        <v/>
      </c>
      <c r="AA178" s="72" t="str">
        <f t="shared" ca="1" si="53"/>
        <v/>
      </c>
    </row>
    <row r="179" spans="1:27" ht="18.75" customHeight="1" x14ac:dyDescent="0.25">
      <c r="A179" s="64" t="str">
        <f t="shared" si="45"/>
        <v/>
      </c>
      <c r="B179" s="65"/>
      <c r="C179" s="66"/>
      <c r="D179" s="65"/>
      <c r="E179" s="67"/>
      <c r="F179" s="67"/>
      <c r="G179" s="64" t="str">
        <f t="shared" si="46"/>
        <v/>
      </c>
      <c r="H179" s="65"/>
      <c r="I179" s="64" t="str">
        <f t="shared" si="47"/>
        <v/>
      </c>
      <c r="J179" s="66"/>
      <c r="K179" s="65"/>
      <c r="L179" s="65"/>
      <c r="M179" s="66"/>
      <c r="N179" s="65"/>
      <c r="O179" s="65"/>
      <c r="P179" s="65"/>
      <c r="Q179" s="68" t="str">
        <f t="shared" si="48"/>
        <v/>
      </c>
      <c r="R179" s="69"/>
      <c r="S179" s="70"/>
      <c r="T179" s="65"/>
      <c r="U179" s="64" t="str">
        <f t="shared" ca="1" si="49"/>
        <v/>
      </c>
      <c r="V179" s="64" t="str">
        <f t="shared" si="50"/>
        <v/>
      </c>
      <c r="W179" s="64" t="str">
        <f t="shared" si="51"/>
        <v/>
      </c>
      <c r="X179" s="64" t="str">
        <f>IF(E179="","",IF(AND(YEAR(E179)=Lịch!$T$2,ROUNDUP(MONTH(E179)/3,0)=Lịch!$W$2),MAX(X$6:X178)+1,""))</f>
        <v/>
      </c>
      <c r="Y179" s="66"/>
      <c r="Z179" s="71" t="str">
        <f t="shared" si="52"/>
        <v/>
      </c>
      <c r="AA179" s="72" t="str">
        <f t="shared" ca="1" si="53"/>
        <v/>
      </c>
    </row>
    <row r="180" spans="1:27" ht="18.75" customHeight="1" x14ac:dyDescent="0.25">
      <c r="A180" s="64" t="str">
        <f t="shared" si="45"/>
        <v/>
      </c>
      <c r="B180" s="73"/>
      <c r="C180" s="74"/>
      <c r="D180" s="73"/>
      <c r="E180" s="75"/>
      <c r="F180" s="75"/>
      <c r="G180" s="64" t="str">
        <f t="shared" si="46"/>
        <v/>
      </c>
      <c r="H180" s="73"/>
      <c r="I180" s="64" t="str">
        <f t="shared" si="47"/>
        <v/>
      </c>
      <c r="J180" s="74"/>
      <c r="K180" s="73"/>
      <c r="L180" s="73"/>
      <c r="M180" s="74"/>
      <c r="N180" s="73"/>
      <c r="O180" s="73"/>
      <c r="P180" s="73"/>
      <c r="Q180" s="68" t="str">
        <f t="shared" si="48"/>
        <v/>
      </c>
      <c r="R180" s="76"/>
      <c r="S180" s="77"/>
      <c r="T180" s="73"/>
      <c r="U180" s="64" t="str">
        <f t="shared" ca="1" si="49"/>
        <v/>
      </c>
      <c r="V180" s="64" t="str">
        <f t="shared" si="50"/>
        <v/>
      </c>
      <c r="W180" s="64" t="str">
        <f t="shared" si="51"/>
        <v/>
      </c>
      <c r="X180" s="64" t="str">
        <f>IF(E180="","",IF(AND(YEAR(E180)=Lịch!$T$2,ROUNDUP(MONTH(E180)/3,0)=Lịch!$W$2),MAX(X$6:X179)+1,""))</f>
        <v/>
      </c>
      <c r="Y180" s="74"/>
      <c r="Z180" s="71" t="str">
        <f t="shared" si="52"/>
        <v/>
      </c>
      <c r="AA180" s="72" t="str">
        <f t="shared" ca="1" si="53"/>
        <v/>
      </c>
    </row>
    <row r="181" spans="1:27" ht="18.75" customHeight="1" x14ac:dyDescent="0.25">
      <c r="A181" s="64" t="str">
        <f t="shared" si="45"/>
        <v/>
      </c>
      <c r="B181" s="65"/>
      <c r="C181" s="66"/>
      <c r="D181" s="65"/>
      <c r="E181" s="67"/>
      <c r="F181" s="67"/>
      <c r="G181" s="64" t="str">
        <f t="shared" si="46"/>
        <v/>
      </c>
      <c r="H181" s="65"/>
      <c r="I181" s="64" t="str">
        <f t="shared" si="47"/>
        <v/>
      </c>
      <c r="J181" s="66"/>
      <c r="K181" s="65"/>
      <c r="L181" s="65"/>
      <c r="M181" s="66"/>
      <c r="N181" s="65"/>
      <c r="O181" s="65"/>
      <c r="P181" s="65"/>
      <c r="Q181" s="68" t="str">
        <f t="shared" si="48"/>
        <v/>
      </c>
      <c r="R181" s="69"/>
      <c r="S181" s="70"/>
      <c r="T181" s="65"/>
      <c r="U181" s="64" t="str">
        <f t="shared" ca="1" si="49"/>
        <v/>
      </c>
      <c r="V181" s="64" t="str">
        <f t="shared" si="50"/>
        <v/>
      </c>
      <c r="W181" s="64" t="str">
        <f t="shared" si="51"/>
        <v/>
      </c>
      <c r="X181" s="64" t="str">
        <f>IF(E181="","",IF(AND(YEAR(E181)=Lịch!$T$2,ROUNDUP(MONTH(E181)/3,0)=Lịch!$W$2),MAX(X$6:X180)+1,""))</f>
        <v/>
      </c>
      <c r="Y181" s="66"/>
      <c r="Z181" s="71" t="str">
        <f t="shared" si="52"/>
        <v/>
      </c>
      <c r="AA181" s="72" t="str">
        <f t="shared" ca="1" si="53"/>
        <v/>
      </c>
    </row>
    <row r="182" spans="1:27" ht="18.75" customHeight="1" x14ac:dyDescent="0.25">
      <c r="A182" s="64" t="str">
        <f t="shared" si="45"/>
        <v/>
      </c>
      <c r="B182" s="73"/>
      <c r="C182" s="74"/>
      <c r="D182" s="73"/>
      <c r="E182" s="75"/>
      <c r="F182" s="75"/>
      <c r="G182" s="64" t="str">
        <f t="shared" si="46"/>
        <v/>
      </c>
      <c r="H182" s="73"/>
      <c r="I182" s="64" t="str">
        <f t="shared" si="47"/>
        <v/>
      </c>
      <c r="J182" s="74"/>
      <c r="K182" s="73"/>
      <c r="L182" s="73"/>
      <c r="M182" s="74"/>
      <c r="N182" s="73"/>
      <c r="O182" s="73"/>
      <c r="P182" s="73"/>
      <c r="Q182" s="68" t="str">
        <f t="shared" si="48"/>
        <v/>
      </c>
      <c r="R182" s="76"/>
      <c r="S182" s="77"/>
      <c r="T182" s="73"/>
      <c r="U182" s="64" t="str">
        <f t="shared" ca="1" si="49"/>
        <v/>
      </c>
      <c r="V182" s="64" t="str">
        <f t="shared" si="50"/>
        <v/>
      </c>
      <c r="W182" s="64" t="str">
        <f t="shared" si="51"/>
        <v/>
      </c>
      <c r="X182" s="64" t="str">
        <f>IF(E182="","",IF(AND(YEAR(E182)=Lịch!$T$2,ROUNDUP(MONTH(E182)/3,0)=Lịch!$W$2),MAX(X$6:X181)+1,""))</f>
        <v/>
      </c>
      <c r="Y182" s="74"/>
      <c r="Z182" s="71" t="str">
        <f t="shared" si="52"/>
        <v/>
      </c>
      <c r="AA182" s="72" t="str">
        <f t="shared" ca="1" si="53"/>
        <v/>
      </c>
    </row>
    <row r="183" spans="1:27" ht="18.75" customHeight="1" x14ac:dyDescent="0.25">
      <c r="A183" s="64" t="str">
        <f t="shared" si="45"/>
        <v/>
      </c>
      <c r="B183" s="65"/>
      <c r="C183" s="66"/>
      <c r="D183" s="65"/>
      <c r="E183" s="67"/>
      <c r="F183" s="67"/>
      <c r="G183" s="64" t="str">
        <f t="shared" si="46"/>
        <v/>
      </c>
      <c r="H183" s="65"/>
      <c r="I183" s="64" t="str">
        <f t="shared" si="47"/>
        <v/>
      </c>
      <c r="J183" s="66"/>
      <c r="K183" s="65"/>
      <c r="L183" s="65"/>
      <c r="M183" s="66"/>
      <c r="N183" s="65"/>
      <c r="O183" s="65"/>
      <c r="P183" s="65"/>
      <c r="Q183" s="68" t="str">
        <f t="shared" si="48"/>
        <v/>
      </c>
      <c r="R183" s="69"/>
      <c r="S183" s="70"/>
      <c r="T183" s="65"/>
      <c r="U183" s="64" t="str">
        <f t="shared" ca="1" si="49"/>
        <v/>
      </c>
      <c r="V183" s="64" t="str">
        <f t="shared" si="50"/>
        <v/>
      </c>
      <c r="W183" s="64" t="str">
        <f t="shared" si="51"/>
        <v/>
      </c>
      <c r="X183" s="64" t="str">
        <f>IF(E183="","",IF(AND(YEAR(E183)=Lịch!$T$2,ROUNDUP(MONTH(E183)/3,0)=Lịch!$W$2),MAX(X$6:X182)+1,""))</f>
        <v/>
      </c>
      <c r="Y183" s="66"/>
      <c r="Z183" s="71" t="str">
        <f t="shared" si="52"/>
        <v/>
      </c>
      <c r="AA183" s="72" t="str">
        <f t="shared" ca="1" si="53"/>
        <v/>
      </c>
    </row>
    <row r="184" spans="1:27" ht="18.75" customHeight="1" x14ac:dyDescent="0.25">
      <c r="A184" s="64" t="str">
        <f t="shared" si="45"/>
        <v/>
      </c>
      <c r="B184" s="73"/>
      <c r="C184" s="74"/>
      <c r="D184" s="73"/>
      <c r="E184" s="75"/>
      <c r="F184" s="75"/>
      <c r="G184" s="64" t="str">
        <f t="shared" si="46"/>
        <v/>
      </c>
      <c r="H184" s="73"/>
      <c r="I184" s="64" t="str">
        <f t="shared" si="47"/>
        <v/>
      </c>
      <c r="J184" s="74"/>
      <c r="K184" s="73"/>
      <c r="L184" s="73"/>
      <c r="M184" s="74"/>
      <c r="N184" s="73"/>
      <c r="O184" s="73"/>
      <c r="P184" s="73"/>
      <c r="Q184" s="68" t="str">
        <f t="shared" si="48"/>
        <v/>
      </c>
      <c r="R184" s="76"/>
      <c r="S184" s="77"/>
      <c r="T184" s="73"/>
      <c r="U184" s="64" t="str">
        <f t="shared" ca="1" si="49"/>
        <v/>
      </c>
      <c r="V184" s="64" t="str">
        <f t="shared" si="50"/>
        <v/>
      </c>
      <c r="W184" s="64" t="str">
        <f t="shared" si="51"/>
        <v/>
      </c>
      <c r="X184" s="64" t="str">
        <f>IF(E184="","",IF(AND(YEAR(E184)=Lịch!$T$2,ROUNDUP(MONTH(E184)/3,0)=Lịch!$W$2),MAX(X$6:X183)+1,""))</f>
        <v/>
      </c>
      <c r="Y184" s="74"/>
      <c r="Z184" s="71" t="str">
        <f t="shared" si="52"/>
        <v/>
      </c>
      <c r="AA184" s="72" t="str">
        <f t="shared" ca="1" si="53"/>
        <v/>
      </c>
    </row>
    <row r="185" spans="1:27" ht="18.75" customHeight="1" x14ac:dyDescent="0.25">
      <c r="A185" s="64" t="str">
        <f t="shared" si="45"/>
        <v/>
      </c>
      <c r="B185" s="65"/>
      <c r="C185" s="66"/>
      <c r="D185" s="65"/>
      <c r="E185" s="67"/>
      <c r="F185" s="67"/>
      <c r="G185" s="64" t="str">
        <f t="shared" si="46"/>
        <v/>
      </c>
      <c r="H185" s="65"/>
      <c r="I185" s="64" t="str">
        <f t="shared" si="47"/>
        <v/>
      </c>
      <c r="J185" s="66"/>
      <c r="K185" s="65"/>
      <c r="L185" s="65"/>
      <c r="M185" s="66"/>
      <c r="N185" s="65"/>
      <c r="O185" s="65"/>
      <c r="P185" s="65"/>
      <c r="Q185" s="68" t="str">
        <f t="shared" si="48"/>
        <v/>
      </c>
      <c r="R185" s="69"/>
      <c r="S185" s="70"/>
      <c r="T185" s="65"/>
      <c r="U185" s="64" t="str">
        <f t="shared" ca="1" si="49"/>
        <v/>
      </c>
      <c r="V185" s="64" t="str">
        <f t="shared" si="50"/>
        <v/>
      </c>
      <c r="W185" s="64" t="str">
        <f t="shared" si="51"/>
        <v/>
      </c>
      <c r="X185" s="64" t="str">
        <f>IF(E185="","",IF(AND(YEAR(E185)=Lịch!$T$2,ROUNDUP(MONTH(E185)/3,0)=Lịch!$W$2),MAX(X$6:X184)+1,""))</f>
        <v/>
      </c>
      <c r="Y185" s="66"/>
      <c r="Z185" s="71" t="str">
        <f t="shared" si="52"/>
        <v/>
      </c>
      <c r="AA185" s="72" t="str">
        <f t="shared" ca="1" si="53"/>
        <v/>
      </c>
    </row>
    <row r="186" spans="1:27" ht="18.75" customHeight="1" x14ac:dyDescent="0.25">
      <c r="A186" s="64" t="str">
        <f t="shared" si="45"/>
        <v/>
      </c>
      <c r="B186" s="73"/>
      <c r="C186" s="74"/>
      <c r="D186" s="73"/>
      <c r="E186" s="75"/>
      <c r="F186" s="75"/>
      <c r="G186" s="64" t="str">
        <f t="shared" si="46"/>
        <v/>
      </c>
      <c r="H186" s="73"/>
      <c r="I186" s="64" t="str">
        <f t="shared" si="47"/>
        <v/>
      </c>
      <c r="J186" s="74"/>
      <c r="K186" s="73"/>
      <c r="L186" s="73"/>
      <c r="M186" s="74"/>
      <c r="N186" s="73"/>
      <c r="O186" s="73"/>
      <c r="P186" s="73"/>
      <c r="Q186" s="68" t="str">
        <f t="shared" si="48"/>
        <v/>
      </c>
      <c r="R186" s="76"/>
      <c r="S186" s="77"/>
      <c r="T186" s="73"/>
      <c r="U186" s="64" t="str">
        <f t="shared" ca="1" si="49"/>
        <v/>
      </c>
      <c r="V186" s="64" t="str">
        <f t="shared" si="50"/>
        <v/>
      </c>
      <c r="W186" s="64" t="str">
        <f t="shared" si="51"/>
        <v/>
      </c>
      <c r="X186" s="64" t="str">
        <f>IF(E186="","",IF(AND(YEAR(E186)=Lịch!$T$2,ROUNDUP(MONTH(E186)/3,0)=Lịch!$W$2),MAX(X$6:X185)+1,""))</f>
        <v/>
      </c>
      <c r="Y186" s="74"/>
      <c r="Z186" s="71" t="str">
        <f t="shared" si="52"/>
        <v/>
      </c>
      <c r="AA186" s="72" t="str">
        <f t="shared" ca="1" si="53"/>
        <v/>
      </c>
    </row>
    <row r="187" spans="1:27" ht="18.75" customHeight="1" x14ac:dyDescent="0.25">
      <c r="A187" s="64" t="str">
        <f t="shared" si="45"/>
        <v/>
      </c>
      <c r="B187" s="65"/>
      <c r="C187" s="66"/>
      <c r="D187" s="65"/>
      <c r="E187" s="67"/>
      <c r="F187" s="67"/>
      <c r="G187" s="64" t="str">
        <f t="shared" si="46"/>
        <v/>
      </c>
      <c r="H187" s="65"/>
      <c r="I187" s="64" t="str">
        <f t="shared" si="47"/>
        <v/>
      </c>
      <c r="J187" s="66"/>
      <c r="K187" s="65"/>
      <c r="L187" s="65"/>
      <c r="M187" s="66"/>
      <c r="N187" s="65"/>
      <c r="O187" s="65"/>
      <c r="P187" s="65"/>
      <c r="Q187" s="68" t="str">
        <f t="shared" si="48"/>
        <v/>
      </c>
      <c r="R187" s="69"/>
      <c r="S187" s="70"/>
      <c r="T187" s="65"/>
      <c r="U187" s="64" t="str">
        <f t="shared" ca="1" si="49"/>
        <v/>
      </c>
      <c r="V187" s="64" t="str">
        <f t="shared" si="50"/>
        <v/>
      </c>
      <c r="W187" s="64" t="str">
        <f t="shared" si="51"/>
        <v/>
      </c>
      <c r="X187" s="64" t="str">
        <f>IF(E187="","",IF(AND(YEAR(E187)=Lịch!$T$2,ROUNDUP(MONTH(E187)/3,0)=Lịch!$W$2),MAX(X$6:X186)+1,""))</f>
        <v/>
      </c>
      <c r="Y187" s="66"/>
      <c r="Z187" s="71" t="str">
        <f t="shared" si="52"/>
        <v/>
      </c>
      <c r="AA187" s="72" t="str">
        <f t="shared" ca="1" si="53"/>
        <v/>
      </c>
    </row>
    <row r="188" spans="1:27" ht="18.75" customHeight="1" x14ac:dyDescent="0.25">
      <c r="A188" s="64" t="str">
        <f t="shared" si="45"/>
        <v/>
      </c>
      <c r="B188" s="73"/>
      <c r="C188" s="74"/>
      <c r="D188" s="73"/>
      <c r="E188" s="75"/>
      <c r="F188" s="75"/>
      <c r="G188" s="64" t="str">
        <f t="shared" si="46"/>
        <v/>
      </c>
      <c r="H188" s="73"/>
      <c r="I188" s="64" t="str">
        <f t="shared" si="47"/>
        <v/>
      </c>
      <c r="J188" s="74"/>
      <c r="K188" s="73"/>
      <c r="L188" s="73"/>
      <c r="M188" s="74"/>
      <c r="N188" s="73"/>
      <c r="O188" s="73"/>
      <c r="P188" s="73"/>
      <c r="Q188" s="68" t="str">
        <f t="shared" si="48"/>
        <v/>
      </c>
      <c r="R188" s="76"/>
      <c r="S188" s="77"/>
      <c r="T188" s="73"/>
      <c r="U188" s="64" t="str">
        <f t="shared" ca="1" si="49"/>
        <v/>
      </c>
      <c r="V188" s="64" t="str">
        <f t="shared" si="50"/>
        <v/>
      </c>
      <c r="W188" s="64" t="str">
        <f t="shared" si="51"/>
        <v/>
      </c>
      <c r="X188" s="64" t="str">
        <f>IF(E188="","",IF(AND(YEAR(E188)=Lịch!$T$2,ROUNDUP(MONTH(E188)/3,0)=Lịch!$W$2),MAX(X$6:X187)+1,""))</f>
        <v/>
      </c>
      <c r="Y188" s="74"/>
      <c r="Z188" s="71" t="str">
        <f t="shared" si="52"/>
        <v/>
      </c>
      <c r="AA188" s="72" t="str">
        <f t="shared" ca="1" si="53"/>
        <v/>
      </c>
    </row>
    <row r="189" spans="1:27" ht="18.75" customHeight="1" x14ac:dyDescent="0.25">
      <c r="A189" s="64" t="str">
        <f t="shared" si="45"/>
        <v/>
      </c>
      <c r="B189" s="65"/>
      <c r="C189" s="66"/>
      <c r="D189" s="65"/>
      <c r="E189" s="67"/>
      <c r="F189" s="67"/>
      <c r="G189" s="64" t="str">
        <f t="shared" si="46"/>
        <v/>
      </c>
      <c r="H189" s="65"/>
      <c r="I189" s="64" t="str">
        <f t="shared" si="47"/>
        <v/>
      </c>
      <c r="J189" s="66"/>
      <c r="K189" s="65"/>
      <c r="L189" s="65"/>
      <c r="M189" s="66"/>
      <c r="N189" s="65"/>
      <c r="O189" s="65"/>
      <c r="P189" s="65"/>
      <c r="Q189" s="68" t="str">
        <f t="shared" si="48"/>
        <v/>
      </c>
      <c r="R189" s="69"/>
      <c r="S189" s="70"/>
      <c r="T189" s="65"/>
      <c r="U189" s="64" t="str">
        <f t="shared" ca="1" si="49"/>
        <v/>
      </c>
      <c r="V189" s="64" t="str">
        <f t="shared" si="50"/>
        <v/>
      </c>
      <c r="W189" s="64" t="str">
        <f t="shared" si="51"/>
        <v/>
      </c>
      <c r="X189" s="64" t="str">
        <f>IF(E189="","",IF(AND(YEAR(E189)=Lịch!$T$2,ROUNDUP(MONTH(E189)/3,0)=Lịch!$W$2),MAX(X$6:X188)+1,""))</f>
        <v/>
      </c>
      <c r="Y189" s="66"/>
      <c r="Z189" s="71" t="str">
        <f t="shared" si="52"/>
        <v/>
      </c>
      <c r="AA189" s="72" t="str">
        <f t="shared" ca="1" si="53"/>
        <v/>
      </c>
    </row>
    <row r="190" spans="1:27" ht="18.75" customHeight="1" x14ac:dyDescent="0.25">
      <c r="A190" s="64" t="str">
        <f t="shared" si="45"/>
        <v/>
      </c>
      <c r="B190" s="73"/>
      <c r="C190" s="74"/>
      <c r="D190" s="73"/>
      <c r="E190" s="75"/>
      <c r="F190" s="75"/>
      <c r="G190" s="64" t="str">
        <f t="shared" si="46"/>
        <v/>
      </c>
      <c r="H190" s="73"/>
      <c r="I190" s="64" t="str">
        <f t="shared" si="47"/>
        <v/>
      </c>
      <c r="J190" s="74"/>
      <c r="K190" s="73"/>
      <c r="L190" s="73"/>
      <c r="M190" s="74"/>
      <c r="N190" s="73"/>
      <c r="O190" s="73"/>
      <c r="P190" s="73"/>
      <c r="Q190" s="68" t="str">
        <f t="shared" si="48"/>
        <v/>
      </c>
      <c r="R190" s="76"/>
      <c r="S190" s="77"/>
      <c r="T190" s="73"/>
      <c r="U190" s="64" t="str">
        <f t="shared" ca="1" si="49"/>
        <v/>
      </c>
      <c r="V190" s="64" t="str">
        <f t="shared" si="50"/>
        <v/>
      </c>
      <c r="W190" s="64" t="str">
        <f t="shared" si="51"/>
        <v/>
      </c>
      <c r="X190" s="64" t="str">
        <f>IF(E190="","",IF(AND(YEAR(E190)=Lịch!$T$2,ROUNDUP(MONTH(E190)/3,0)=Lịch!$W$2),MAX(X$6:X189)+1,""))</f>
        <v/>
      </c>
      <c r="Y190" s="74"/>
      <c r="Z190" s="71" t="str">
        <f t="shared" si="52"/>
        <v/>
      </c>
      <c r="AA190" s="72" t="str">
        <f t="shared" ca="1" si="53"/>
        <v/>
      </c>
    </row>
    <row r="191" spans="1:27" ht="18.75" customHeight="1" x14ac:dyDescent="0.25">
      <c r="A191" s="64" t="str">
        <f t="shared" si="45"/>
        <v/>
      </c>
      <c r="B191" s="65"/>
      <c r="C191" s="66"/>
      <c r="D191" s="65"/>
      <c r="E191" s="67"/>
      <c r="F191" s="67"/>
      <c r="G191" s="64" t="str">
        <f t="shared" si="46"/>
        <v/>
      </c>
      <c r="H191" s="65"/>
      <c r="I191" s="64" t="str">
        <f t="shared" si="47"/>
        <v/>
      </c>
      <c r="J191" s="66"/>
      <c r="K191" s="65"/>
      <c r="L191" s="65"/>
      <c r="M191" s="66"/>
      <c r="N191" s="65"/>
      <c r="O191" s="65"/>
      <c r="P191" s="65"/>
      <c r="Q191" s="68" t="str">
        <f t="shared" si="48"/>
        <v/>
      </c>
      <c r="R191" s="69"/>
      <c r="S191" s="70"/>
      <c r="T191" s="65"/>
      <c r="U191" s="64" t="str">
        <f t="shared" ca="1" si="49"/>
        <v/>
      </c>
      <c r="V191" s="64" t="str">
        <f t="shared" si="50"/>
        <v/>
      </c>
      <c r="W191" s="64" t="str">
        <f t="shared" si="51"/>
        <v/>
      </c>
      <c r="X191" s="64" t="str">
        <f>IF(E191="","",IF(AND(YEAR(E191)=Lịch!$T$2,ROUNDUP(MONTH(E191)/3,0)=Lịch!$W$2),MAX(X$6:X190)+1,""))</f>
        <v/>
      </c>
      <c r="Y191" s="66"/>
      <c r="Z191" s="71" t="str">
        <f t="shared" si="52"/>
        <v/>
      </c>
      <c r="AA191" s="72" t="str">
        <f t="shared" ca="1" si="53"/>
        <v/>
      </c>
    </row>
    <row r="192" spans="1:27" ht="18.75" customHeight="1" x14ac:dyDescent="0.25">
      <c r="A192" s="64" t="str">
        <f t="shared" si="45"/>
        <v/>
      </c>
      <c r="B192" s="73"/>
      <c r="C192" s="74"/>
      <c r="D192" s="73"/>
      <c r="E192" s="75"/>
      <c r="F192" s="75"/>
      <c r="G192" s="64" t="str">
        <f t="shared" si="46"/>
        <v/>
      </c>
      <c r="H192" s="73"/>
      <c r="I192" s="64" t="str">
        <f t="shared" si="47"/>
        <v/>
      </c>
      <c r="J192" s="74"/>
      <c r="K192" s="73"/>
      <c r="L192" s="73"/>
      <c r="M192" s="74"/>
      <c r="N192" s="73"/>
      <c r="O192" s="73"/>
      <c r="P192" s="73"/>
      <c r="Q192" s="68" t="str">
        <f t="shared" si="48"/>
        <v/>
      </c>
      <c r="R192" s="76"/>
      <c r="S192" s="77"/>
      <c r="T192" s="73"/>
      <c r="U192" s="64" t="str">
        <f t="shared" ca="1" si="49"/>
        <v/>
      </c>
      <c r="V192" s="64" t="str">
        <f t="shared" si="50"/>
        <v/>
      </c>
      <c r="W192" s="64" t="str">
        <f t="shared" si="51"/>
        <v/>
      </c>
      <c r="X192" s="64" t="str">
        <f>IF(E192="","",IF(AND(YEAR(E192)=Lịch!$T$2,ROUNDUP(MONTH(E192)/3,0)=Lịch!$W$2),MAX(X$6:X191)+1,""))</f>
        <v/>
      </c>
      <c r="Y192" s="74"/>
      <c r="Z192" s="71" t="str">
        <f t="shared" si="52"/>
        <v/>
      </c>
      <c r="AA192" s="72" t="str">
        <f t="shared" ca="1" si="53"/>
        <v/>
      </c>
    </row>
    <row r="193" spans="1:27" ht="18.75" customHeight="1" x14ac:dyDescent="0.25">
      <c r="A193" s="64" t="str">
        <f t="shared" si="45"/>
        <v/>
      </c>
      <c r="B193" s="65"/>
      <c r="C193" s="66"/>
      <c r="D193" s="65"/>
      <c r="E193" s="67"/>
      <c r="F193" s="67"/>
      <c r="G193" s="64" t="str">
        <f t="shared" si="46"/>
        <v/>
      </c>
      <c r="H193" s="65"/>
      <c r="I193" s="64" t="str">
        <f t="shared" si="47"/>
        <v/>
      </c>
      <c r="J193" s="66"/>
      <c r="K193" s="65"/>
      <c r="L193" s="65"/>
      <c r="M193" s="66"/>
      <c r="N193" s="65"/>
      <c r="O193" s="65"/>
      <c r="P193" s="65"/>
      <c r="Q193" s="68" t="str">
        <f t="shared" si="48"/>
        <v/>
      </c>
      <c r="R193" s="69"/>
      <c r="S193" s="70"/>
      <c r="T193" s="65"/>
      <c r="U193" s="64" t="str">
        <f t="shared" ca="1" si="49"/>
        <v/>
      </c>
      <c r="V193" s="64" t="str">
        <f t="shared" si="50"/>
        <v/>
      </c>
      <c r="W193" s="64" t="str">
        <f t="shared" si="51"/>
        <v/>
      </c>
      <c r="X193" s="64" t="str">
        <f>IF(E193="","",IF(AND(YEAR(E193)=Lịch!$T$2,ROUNDUP(MONTH(E193)/3,0)=Lịch!$W$2),MAX(X$6:X192)+1,""))</f>
        <v/>
      </c>
      <c r="Y193" s="66"/>
      <c r="Z193" s="71" t="str">
        <f t="shared" si="52"/>
        <v/>
      </c>
      <c r="AA193" s="72" t="str">
        <f t="shared" ca="1" si="53"/>
        <v/>
      </c>
    </row>
    <row r="194" spans="1:27" ht="18.75" customHeight="1" x14ac:dyDescent="0.25">
      <c r="A194" s="64" t="str">
        <f t="shared" si="45"/>
        <v/>
      </c>
      <c r="B194" s="73"/>
      <c r="C194" s="74"/>
      <c r="D194" s="73"/>
      <c r="E194" s="75"/>
      <c r="F194" s="75"/>
      <c r="G194" s="64" t="str">
        <f t="shared" si="46"/>
        <v/>
      </c>
      <c r="H194" s="73"/>
      <c r="I194" s="64" t="str">
        <f t="shared" si="47"/>
        <v/>
      </c>
      <c r="J194" s="74"/>
      <c r="K194" s="73"/>
      <c r="L194" s="73"/>
      <c r="M194" s="74"/>
      <c r="N194" s="73"/>
      <c r="O194" s="73"/>
      <c r="P194" s="73"/>
      <c r="Q194" s="68" t="str">
        <f t="shared" si="48"/>
        <v/>
      </c>
      <c r="R194" s="76"/>
      <c r="S194" s="77"/>
      <c r="T194" s="73"/>
      <c r="U194" s="64" t="str">
        <f t="shared" ca="1" si="49"/>
        <v/>
      </c>
      <c r="V194" s="64" t="str">
        <f t="shared" si="50"/>
        <v/>
      </c>
      <c r="W194" s="64" t="str">
        <f t="shared" si="51"/>
        <v/>
      </c>
      <c r="X194" s="64" t="str">
        <f>IF(E194="","",IF(AND(YEAR(E194)=Lịch!$T$2,ROUNDUP(MONTH(E194)/3,0)=Lịch!$W$2),MAX(X$6:X193)+1,""))</f>
        <v/>
      </c>
      <c r="Y194" s="74"/>
      <c r="Z194" s="71" t="str">
        <f t="shared" si="52"/>
        <v/>
      </c>
      <c r="AA194" s="72" t="str">
        <f t="shared" ca="1" si="53"/>
        <v/>
      </c>
    </row>
    <row r="195" spans="1:27" ht="18.75" customHeight="1" x14ac:dyDescent="0.25">
      <c r="A195" s="64" t="str">
        <f t="shared" si="45"/>
        <v/>
      </c>
      <c r="B195" s="65"/>
      <c r="C195" s="66"/>
      <c r="D195" s="65"/>
      <c r="E195" s="67"/>
      <c r="F195" s="67"/>
      <c r="G195" s="64" t="str">
        <f t="shared" si="46"/>
        <v/>
      </c>
      <c r="H195" s="65"/>
      <c r="I195" s="64" t="str">
        <f t="shared" si="47"/>
        <v/>
      </c>
      <c r="J195" s="66"/>
      <c r="K195" s="65"/>
      <c r="L195" s="65"/>
      <c r="M195" s="66"/>
      <c r="N195" s="65"/>
      <c r="O195" s="65"/>
      <c r="P195" s="65"/>
      <c r="Q195" s="68" t="str">
        <f t="shared" si="48"/>
        <v/>
      </c>
      <c r="R195" s="69"/>
      <c r="S195" s="70"/>
      <c r="T195" s="65"/>
      <c r="U195" s="64" t="str">
        <f t="shared" ca="1" si="49"/>
        <v/>
      </c>
      <c r="V195" s="64" t="str">
        <f t="shared" si="50"/>
        <v/>
      </c>
      <c r="W195" s="64" t="str">
        <f t="shared" si="51"/>
        <v/>
      </c>
      <c r="X195" s="64" t="str">
        <f>IF(E195="","",IF(AND(YEAR(E195)=Lịch!$T$2,ROUNDUP(MONTH(E195)/3,0)=Lịch!$W$2),MAX(X$6:X194)+1,""))</f>
        <v/>
      </c>
      <c r="Y195" s="66"/>
      <c r="Z195" s="71" t="str">
        <f t="shared" si="52"/>
        <v/>
      </c>
      <c r="AA195" s="72" t="str">
        <f t="shared" ca="1" si="53"/>
        <v/>
      </c>
    </row>
    <row r="196" spans="1:27" ht="18.75" customHeight="1" x14ac:dyDescent="0.25">
      <c r="A196" s="64" t="str">
        <f t="shared" si="45"/>
        <v/>
      </c>
      <c r="B196" s="73"/>
      <c r="C196" s="74"/>
      <c r="D196" s="73"/>
      <c r="E196" s="75"/>
      <c r="F196" s="75"/>
      <c r="G196" s="64" t="str">
        <f t="shared" si="46"/>
        <v/>
      </c>
      <c r="H196" s="73"/>
      <c r="I196" s="64" t="str">
        <f t="shared" si="47"/>
        <v/>
      </c>
      <c r="J196" s="74"/>
      <c r="K196" s="73"/>
      <c r="L196" s="73"/>
      <c r="M196" s="74"/>
      <c r="N196" s="73"/>
      <c r="O196" s="73"/>
      <c r="P196" s="73"/>
      <c r="Q196" s="68" t="str">
        <f t="shared" si="48"/>
        <v/>
      </c>
      <c r="R196" s="76"/>
      <c r="S196" s="77"/>
      <c r="T196" s="73"/>
      <c r="U196" s="64" t="str">
        <f t="shared" ca="1" si="49"/>
        <v/>
      </c>
      <c r="V196" s="64" t="str">
        <f t="shared" si="50"/>
        <v/>
      </c>
      <c r="W196" s="64" t="str">
        <f t="shared" si="51"/>
        <v/>
      </c>
      <c r="X196" s="64" t="str">
        <f>IF(E196="","",IF(AND(YEAR(E196)=Lịch!$T$2,ROUNDUP(MONTH(E196)/3,0)=Lịch!$W$2),MAX(X$6:X195)+1,""))</f>
        <v/>
      </c>
      <c r="Y196" s="74"/>
      <c r="Z196" s="71" t="str">
        <f t="shared" si="52"/>
        <v/>
      </c>
      <c r="AA196" s="72" t="str">
        <f t="shared" ca="1" si="53"/>
        <v/>
      </c>
    </row>
    <row r="197" spans="1:27" ht="18.75" customHeight="1" x14ac:dyDescent="0.25">
      <c r="A197" s="64" t="str">
        <f t="shared" si="45"/>
        <v/>
      </c>
      <c r="B197" s="65"/>
      <c r="C197" s="66"/>
      <c r="D197" s="65"/>
      <c r="E197" s="67"/>
      <c r="F197" s="67"/>
      <c r="G197" s="64" t="str">
        <f t="shared" si="46"/>
        <v/>
      </c>
      <c r="H197" s="65"/>
      <c r="I197" s="64" t="str">
        <f t="shared" si="47"/>
        <v/>
      </c>
      <c r="J197" s="66"/>
      <c r="K197" s="65"/>
      <c r="L197" s="65"/>
      <c r="M197" s="66"/>
      <c r="N197" s="65"/>
      <c r="O197" s="65"/>
      <c r="P197" s="65"/>
      <c r="Q197" s="68" t="str">
        <f t="shared" si="48"/>
        <v/>
      </c>
      <c r="R197" s="69"/>
      <c r="S197" s="70"/>
      <c r="T197" s="65"/>
      <c r="U197" s="64" t="str">
        <f t="shared" ca="1" si="49"/>
        <v/>
      </c>
      <c r="V197" s="64" t="str">
        <f t="shared" si="50"/>
        <v/>
      </c>
      <c r="W197" s="64" t="str">
        <f t="shared" si="51"/>
        <v/>
      </c>
      <c r="X197" s="64" t="str">
        <f>IF(E197="","",IF(AND(YEAR(E197)=Lịch!$T$2,ROUNDUP(MONTH(E197)/3,0)=Lịch!$W$2),MAX(X$6:X196)+1,""))</f>
        <v/>
      </c>
      <c r="Y197" s="66"/>
      <c r="Z197" s="71" t="str">
        <f t="shared" si="52"/>
        <v/>
      </c>
      <c r="AA197" s="72" t="str">
        <f t="shared" ca="1" si="53"/>
        <v/>
      </c>
    </row>
    <row r="198" spans="1:27" ht="18.75" customHeight="1" x14ac:dyDescent="0.25">
      <c r="A198" s="64" t="str">
        <f t="shared" si="45"/>
        <v/>
      </c>
      <c r="B198" s="73"/>
      <c r="C198" s="74"/>
      <c r="D198" s="73"/>
      <c r="E198" s="75"/>
      <c r="F198" s="75"/>
      <c r="G198" s="64" t="str">
        <f t="shared" si="46"/>
        <v/>
      </c>
      <c r="H198" s="73"/>
      <c r="I198" s="64" t="str">
        <f t="shared" si="47"/>
        <v/>
      </c>
      <c r="J198" s="74"/>
      <c r="K198" s="73"/>
      <c r="L198" s="73"/>
      <c r="M198" s="74"/>
      <c r="N198" s="73"/>
      <c r="O198" s="73"/>
      <c r="P198" s="73"/>
      <c r="Q198" s="68" t="str">
        <f t="shared" si="48"/>
        <v/>
      </c>
      <c r="R198" s="76"/>
      <c r="S198" s="77"/>
      <c r="T198" s="73"/>
      <c r="U198" s="64" t="str">
        <f t="shared" ca="1" si="49"/>
        <v/>
      </c>
      <c r="V198" s="64" t="str">
        <f t="shared" si="50"/>
        <v/>
      </c>
      <c r="W198" s="64" t="str">
        <f t="shared" si="51"/>
        <v/>
      </c>
      <c r="X198" s="64" t="str">
        <f>IF(E198="","",IF(AND(YEAR(E198)=Lịch!$T$2,ROUNDUP(MONTH(E198)/3,0)=Lịch!$W$2),MAX(X$6:X197)+1,""))</f>
        <v/>
      </c>
      <c r="Y198" s="74"/>
      <c r="Z198" s="71" t="str">
        <f t="shared" si="52"/>
        <v/>
      </c>
      <c r="AA198" s="72" t="str">
        <f t="shared" ca="1" si="53"/>
        <v/>
      </c>
    </row>
    <row r="199" spans="1:27" ht="18.75" customHeight="1" x14ac:dyDescent="0.25">
      <c r="A199" s="64" t="str">
        <f t="shared" ref="A199:A206" si="54">IF(C199="","",ROW()-6)</f>
        <v/>
      </c>
      <c r="B199" s="65"/>
      <c r="C199" s="66"/>
      <c r="D199" s="65"/>
      <c r="E199" s="67"/>
      <c r="F199" s="67"/>
      <c r="G199" s="64" t="str">
        <f t="shared" ref="G199:G206" si="55">IF(OR(E199="",F199=""),"",NETWORKDAYS(E199,F199))</f>
        <v/>
      </c>
      <c r="H199" s="65"/>
      <c r="I199" s="64" t="str">
        <f t="shared" ref="I199:I206" si="56">IF(OR(G199="",H199=""),"",G199*H199)</f>
        <v/>
      </c>
      <c r="J199" s="66"/>
      <c r="K199" s="65"/>
      <c r="L199" s="65"/>
      <c r="M199" s="66"/>
      <c r="N199" s="65"/>
      <c r="O199" s="65"/>
      <c r="P199" s="65"/>
      <c r="Q199" s="68" t="str">
        <f t="shared" ref="Q199:Q206" si="57">IF(OR(O199="",O199=0,P199=""),"",P199/O199)</f>
        <v/>
      </c>
      <c r="R199" s="69"/>
      <c r="S199" s="70"/>
      <c r="T199" s="65"/>
      <c r="U199" s="64" t="str">
        <f t="shared" ref="U199:U206" ca="1" si="58">IF(C199="","",IF(T199&lt;&gt;"",T199,IF(E199="","Chưa xếp lịch",IF(TODAY()&lt;E199,"Sắp diễn ra",IF(TODAY()&gt;F199,"Đã hoàn thành","Đang diễn ra")))))</f>
        <v/>
      </c>
      <c r="V199" s="64" t="str">
        <f t="shared" ref="V199:V206" si="59">IF(E199="","","Q"&amp;ROUNDUP(MONTH(E199)/3,0))</f>
        <v/>
      </c>
      <c r="W199" s="64" t="str">
        <f t="shared" ref="W199:W206" si="60">IF(E199="","",YEAR(E199))</f>
        <v/>
      </c>
      <c r="X199" s="64" t="str">
        <f>IF(E199="","",IF(AND(YEAR(E199)=Lịch!$T$2,ROUNDUP(MONTH(E199)/3,0)=Lịch!$W$2),MAX(X$6:X198)+1,""))</f>
        <v/>
      </c>
      <c r="Y199" s="66"/>
      <c r="Z199" s="71" t="str">
        <f t="shared" ref="Z199:Z206" si="61">IF(OR(I199="",P199=""),"",I199*P199)</f>
        <v/>
      </c>
      <c r="AA199" s="72" t="str">
        <f t="shared" ref="AA199:AA206" ca="1" si="62">IF(AND(C199&lt;&gt;"",T199="",E199&lt;&gt;"",F199&gt;=TODAY()),E199+ROW()/100000,"")</f>
        <v/>
      </c>
    </row>
    <row r="200" spans="1:27" ht="18.75" customHeight="1" x14ac:dyDescent="0.25">
      <c r="A200" s="64" t="str">
        <f t="shared" si="54"/>
        <v/>
      </c>
      <c r="B200" s="73"/>
      <c r="C200" s="74"/>
      <c r="D200" s="73"/>
      <c r="E200" s="75"/>
      <c r="F200" s="75"/>
      <c r="G200" s="64" t="str">
        <f t="shared" si="55"/>
        <v/>
      </c>
      <c r="H200" s="73"/>
      <c r="I200" s="64" t="str">
        <f t="shared" si="56"/>
        <v/>
      </c>
      <c r="J200" s="74"/>
      <c r="K200" s="73"/>
      <c r="L200" s="73"/>
      <c r="M200" s="74"/>
      <c r="N200" s="73"/>
      <c r="O200" s="73"/>
      <c r="P200" s="73"/>
      <c r="Q200" s="68" t="str">
        <f t="shared" si="57"/>
        <v/>
      </c>
      <c r="R200" s="76"/>
      <c r="S200" s="77"/>
      <c r="T200" s="73"/>
      <c r="U200" s="64" t="str">
        <f t="shared" ca="1" si="58"/>
        <v/>
      </c>
      <c r="V200" s="64" t="str">
        <f t="shared" si="59"/>
        <v/>
      </c>
      <c r="W200" s="64" t="str">
        <f t="shared" si="60"/>
        <v/>
      </c>
      <c r="X200" s="64" t="str">
        <f>IF(E200="","",IF(AND(YEAR(E200)=Lịch!$T$2,ROUNDUP(MONTH(E200)/3,0)=Lịch!$W$2),MAX(X$6:X199)+1,""))</f>
        <v/>
      </c>
      <c r="Y200" s="74"/>
      <c r="Z200" s="71" t="str">
        <f t="shared" si="61"/>
        <v/>
      </c>
      <c r="AA200" s="72" t="str">
        <f t="shared" ca="1" si="62"/>
        <v/>
      </c>
    </row>
    <row r="201" spans="1:27" ht="18.75" customHeight="1" x14ac:dyDescent="0.25">
      <c r="A201" s="64" t="str">
        <f t="shared" si="54"/>
        <v/>
      </c>
      <c r="B201" s="65"/>
      <c r="C201" s="66"/>
      <c r="D201" s="65"/>
      <c r="E201" s="67"/>
      <c r="F201" s="67"/>
      <c r="G201" s="64" t="str">
        <f t="shared" si="55"/>
        <v/>
      </c>
      <c r="H201" s="65"/>
      <c r="I201" s="64" t="str">
        <f t="shared" si="56"/>
        <v/>
      </c>
      <c r="J201" s="66"/>
      <c r="K201" s="65"/>
      <c r="L201" s="65"/>
      <c r="M201" s="66"/>
      <c r="N201" s="65"/>
      <c r="O201" s="65"/>
      <c r="P201" s="65"/>
      <c r="Q201" s="68" t="str">
        <f t="shared" si="57"/>
        <v/>
      </c>
      <c r="R201" s="69"/>
      <c r="S201" s="70"/>
      <c r="T201" s="65"/>
      <c r="U201" s="64" t="str">
        <f t="shared" ca="1" si="58"/>
        <v/>
      </c>
      <c r="V201" s="64" t="str">
        <f t="shared" si="59"/>
        <v/>
      </c>
      <c r="W201" s="64" t="str">
        <f t="shared" si="60"/>
        <v/>
      </c>
      <c r="X201" s="64" t="str">
        <f>IF(E201="","",IF(AND(YEAR(E201)=Lịch!$T$2,ROUNDUP(MONTH(E201)/3,0)=Lịch!$W$2),MAX(X$6:X200)+1,""))</f>
        <v/>
      </c>
      <c r="Y201" s="66"/>
      <c r="Z201" s="71" t="str">
        <f t="shared" si="61"/>
        <v/>
      </c>
      <c r="AA201" s="72" t="str">
        <f t="shared" ca="1" si="62"/>
        <v/>
      </c>
    </row>
    <row r="202" spans="1:27" ht="18.75" customHeight="1" x14ac:dyDescent="0.25">
      <c r="A202" s="64" t="str">
        <f t="shared" si="54"/>
        <v/>
      </c>
      <c r="B202" s="73"/>
      <c r="C202" s="74"/>
      <c r="D202" s="73"/>
      <c r="E202" s="75"/>
      <c r="F202" s="75"/>
      <c r="G202" s="64" t="str">
        <f t="shared" si="55"/>
        <v/>
      </c>
      <c r="H202" s="73"/>
      <c r="I202" s="64" t="str">
        <f t="shared" si="56"/>
        <v/>
      </c>
      <c r="J202" s="74"/>
      <c r="K202" s="73"/>
      <c r="L202" s="73"/>
      <c r="M202" s="74"/>
      <c r="N202" s="73"/>
      <c r="O202" s="73"/>
      <c r="P202" s="73"/>
      <c r="Q202" s="68" t="str">
        <f t="shared" si="57"/>
        <v/>
      </c>
      <c r="R202" s="76"/>
      <c r="S202" s="77"/>
      <c r="T202" s="73"/>
      <c r="U202" s="64" t="str">
        <f t="shared" ca="1" si="58"/>
        <v/>
      </c>
      <c r="V202" s="64" t="str">
        <f t="shared" si="59"/>
        <v/>
      </c>
      <c r="W202" s="64" t="str">
        <f t="shared" si="60"/>
        <v/>
      </c>
      <c r="X202" s="64" t="str">
        <f>IF(E202="","",IF(AND(YEAR(E202)=Lịch!$T$2,ROUNDUP(MONTH(E202)/3,0)=Lịch!$W$2),MAX(X$6:X201)+1,""))</f>
        <v/>
      </c>
      <c r="Y202" s="74"/>
      <c r="Z202" s="71" t="str">
        <f t="shared" si="61"/>
        <v/>
      </c>
      <c r="AA202" s="72" t="str">
        <f t="shared" ca="1" si="62"/>
        <v/>
      </c>
    </row>
    <row r="203" spans="1:27" ht="18.75" customHeight="1" x14ac:dyDescent="0.25">
      <c r="A203" s="64" t="str">
        <f t="shared" si="54"/>
        <v/>
      </c>
      <c r="B203" s="65"/>
      <c r="C203" s="66"/>
      <c r="D203" s="65"/>
      <c r="E203" s="67"/>
      <c r="F203" s="67"/>
      <c r="G203" s="64" t="str">
        <f t="shared" si="55"/>
        <v/>
      </c>
      <c r="H203" s="65"/>
      <c r="I203" s="64" t="str">
        <f t="shared" si="56"/>
        <v/>
      </c>
      <c r="J203" s="66"/>
      <c r="K203" s="65"/>
      <c r="L203" s="65"/>
      <c r="M203" s="66"/>
      <c r="N203" s="65"/>
      <c r="O203" s="65"/>
      <c r="P203" s="65"/>
      <c r="Q203" s="68" t="str">
        <f t="shared" si="57"/>
        <v/>
      </c>
      <c r="R203" s="69"/>
      <c r="S203" s="70"/>
      <c r="T203" s="65"/>
      <c r="U203" s="64" t="str">
        <f t="shared" ca="1" si="58"/>
        <v/>
      </c>
      <c r="V203" s="64" t="str">
        <f t="shared" si="59"/>
        <v/>
      </c>
      <c r="W203" s="64" t="str">
        <f t="shared" si="60"/>
        <v/>
      </c>
      <c r="X203" s="64" t="str">
        <f>IF(E203="","",IF(AND(YEAR(E203)=Lịch!$T$2,ROUNDUP(MONTH(E203)/3,0)=Lịch!$W$2),MAX(X$6:X202)+1,""))</f>
        <v/>
      </c>
      <c r="Y203" s="66"/>
      <c r="Z203" s="71" t="str">
        <f t="shared" si="61"/>
        <v/>
      </c>
      <c r="AA203" s="72" t="str">
        <f t="shared" ca="1" si="62"/>
        <v/>
      </c>
    </row>
    <row r="204" spans="1:27" ht="18.75" customHeight="1" x14ac:dyDescent="0.25">
      <c r="A204" s="64" t="str">
        <f t="shared" si="54"/>
        <v/>
      </c>
      <c r="B204" s="73"/>
      <c r="C204" s="74"/>
      <c r="D204" s="73"/>
      <c r="E204" s="75"/>
      <c r="F204" s="75"/>
      <c r="G204" s="64" t="str">
        <f t="shared" si="55"/>
        <v/>
      </c>
      <c r="H204" s="73"/>
      <c r="I204" s="64" t="str">
        <f t="shared" si="56"/>
        <v/>
      </c>
      <c r="J204" s="74"/>
      <c r="K204" s="73"/>
      <c r="L204" s="73"/>
      <c r="M204" s="74"/>
      <c r="N204" s="73"/>
      <c r="O204" s="73"/>
      <c r="P204" s="73"/>
      <c r="Q204" s="68" t="str">
        <f t="shared" si="57"/>
        <v/>
      </c>
      <c r="R204" s="76"/>
      <c r="S204" s="77"/>
      <c r="T204" s="73"/>
      <c r="U204" s="64" t="str">
        <f t="shared" ca="1" si="58"/>
        <v/>
      </c>
      <c r="V204" s="64" t="str">
        <f t="shared" si="59"/>
        <v/>
      </c>
      <c r="W204" s="64" t="str">
        <f t="shared" si="60"/>
        <v/>
      </c>
      <c r="X204" s="64" t="str">
        <f>IF(E204="","",IF(AND(YEAR(E204)=Lịch!$T$2,ROUNDUP(MONTH(E204)/3,0)=Lịch!$W$2),MAX(X$6:X203)+1,""))</f>
        <v/>
      </c>
      <c r="Y204" s="74"/>
      <c r="Z204" s="71" t="str">
        <f t="shared" si="61"/>
        <v/>
      </c>
      <c r="AA204" s="72" t="str">
        <f t="shared" ca="1" si="62"/>
        <v/>
      </c>
    </row>
    <row r="205" spans="1:27" ht="18.75" customHeight="1" x14ac:dyDescent="0.25">
      <c r="A205" s="64" t="str">
        <f t="shared" si="54"/>
        <v/>
      </c>
      <c r="B205" s="65"/>
      <c r="C205" s="66"/>
      <c r="D205" s="65"/>
      <c r="E205" s="67"/>
      <c r="F205" s="67"/>
      <c r="G205" s="64" t="str">
        <f t="shared" si="55"/>
        <v/>
      </c>
      <c r="H205" s="65"/>
      <c r="I205" s="64" t="str">
        <f t="shared" si="56"/>
        <v/>
      </c>
      <c r="J205" s="66"/>
      <c r="K205" s="65"/>
      <c r="L205" s="65"/>
      <c r="M205" s="66"/>
      <c r="N205" s="65"/>
      <c r="O205" s="65"/>
      <c r="P205" s="65"/>
      <c r="Q205" s="68" t="str">
        <f t="shared" si="57"/>
        <v/>
      </c>
      <c r="R205" s="69"/>
      <c r="S205" s="70"/>
      <c r="T205" s="65"/>
      <c r="U205" s="64" t="str">
        <f t="shared" ca="1" si="58"/>
        <v/>
      </c>
      <c r="V205" s="64" t="str">
        <f t="shared" si="59"/>
        <v/>
      </c>
      <c r="W205" s="64" t="str">
        <f t="shared" si="60"/>
        <v/>
      </c>
      <c r="X205" s="64" t="str">
        <f>IF(E205="","",IF(AND(YEAR(E205)=Lịch!$T$2,ROUNDUP(MONTH(E205)/3,0)=Lịch!$W$2),MAX(X$6:X204)+1,""))</f>
        <v/>
      </c>
      <c r="Y205" s="66"/>
      <c r="Z205" s="71" t="str">
        <f t="shared" si="61"/>
        <v/>
      </c>
      <c r="AA205" s="72" t="str">
        <f t="shared" ca="1" si="62"/>
        <v/>
      </c>
    </row>
    <row r="206" spans="1:27" ht="18.75" customHeight="1" x14ac:dyDescent="0.25">
      <c r="A206" s="64" t="str">
        <f t="shared" si="54"/>
        <v/>
      </c>
      <c r="B206" s="73"/>
      <c r="C206" s="74"/>
      <c r="D206" s="73"/>
      <c r="E206" s="75"/>
      <c r="F206" s="75"/>
      <c r="G206" s="64" t="str">
        <f t="shared" si="55"/>
        <v/>
      </c>
      <c r="H206" s="73"/>
      <c r="I206" s="64" t="str">
        <f t="shared" si="56"/>
        <v/>
      </c>
      <c r="J206" s="74"/>
      <c r="K206" s="73"/>
      <c r="L206" s="73"/>
      <c r="M206" s="74"/>
      <c r="N206" s="73"/>
      <c r="O206" s="73"/>
      <c r="P206" s="73"/>
      <c r="Q206" s="68" t="str">
        <f t="shared" si="57"/>
        <v/>
      </c>
      <c r="R206" s="76"/>
      <c r="S206" s="77"/>
      <c r="T206" s="73"/>
      <c r="U206" s="64" t="str">
        <f t="shared" ca="1" si="58"/>
        <v/>
      </c>
      <c r="V206" s="64" t="str">
        <f t="shared" si="59"/>
        <v/>
      </c>
      <c r="W206" s="64" t="str">
        <f t="shared" si="60"/>
        <v/>
      </c>
      <c r="X206" s="64" t="str">
        <f>IF(E206="","",IF(AND(YEAR(E206)=Lịch!$T$2,ROUNDUP(MONTH(E206)/3,0)=Lịch!$W$2),MAX(X$6:X205)+1,""))</f>
        <v/>
      </c>
      <c r="Y206" s="74"/>
      <c r="Z206" s="71" t="str">
        <f t="shared" si="61"/>
        <v/>
      </c>
      <c r="AA206" s="72" t="str">
        <f t="shared" ca="1" si="62"/>
        <v/>
      </c>
    </row>
  </sheetData>
  <autoFilter ref="A6:Z206" xr:uid="{00000000-0009-0000-0000-000002000000}"/>
  <conditionalFormatting sqref="C7:C206">
    <cfRule type="expression" dxfId="11" priority="13">
      <formula>AND(E7&lt;&gt;"",T7="",COUNTIFS($E$7:$E$206,"&lt;="&amp;F7,$F$7:$F$206,"&gt;="&amp;E7,$T$7:$T$206,"")&gt;1)</formula>
    </cfRule>
  </conditionalFormatting>
  <conditionalFormatting sqref="D7:D206">
    <cfRule type="cellIs" dxfId="10" priority="7" operator="equal">
      <formula>"Technical"</formula>
    </cfRule>
    <cfRule type="cellIs" dxfId="9" priority="8" operator="equal">
      <formula>"Soft Skill"</formula>
    </cfRule>
    <cfRule type="cellIs" dxfId="8" priority="9" operator="equal">
      <formula>"Compliance"</formula>
    </cfRule>
    <cfRule type="cellIs" dxfId="7" priority="10" operator="equal">
      <formula>"Leadership"</formula>
    </cfRule>
    <cfRule type="cellIs" dxfId="6" priority="11" operator="equal">
      <formula>"Hội nhập"</formula>
    </cfRule>
  </conditionalFormatting>
  <conditionalFormatting sqref="S7:S206">
    <cfRule type="dataBar" priority="14">
      <dataBar>
        <cfvo type="num" val="1"/>
        <cfvo type="num" val="5"/>
        <color rgb="FF6CB6B9"/>
      </dataBar>
      <extLst>
        <ext xmlns:x14="http://schemas.microsoft.com/office/spreadsheetml/2009/9/main" uri="{B025F937-C7B1-47D3-B67F-A62EFF666E3E}">
          <x14:id>{55536EEB-3643-48AB-97C9-3AA33285FAC5}</x14:id>
        </ext>
      </extLst>
    </cfRule>
  </conditionalFormatting>
  <conditionalFormatting sqref="U7:U206">
    <cfRule type="cellIs" dxfId="4" priority="2" operator="equal">
      <formula>"Đã hoàn thành"</formula>
    </cfRule>
    <cfRule type="cellIs" dxfId="3" priority="3" operator="equal">
      <formula>"Đang diễn ra"</formula>
    </cfRule>
    <cfRule type="cellIs" dxfId="2" priority="4" operator="equal">
      <formula>"Sắp diễn ra"</formula>
    </cfRule>
    <cfRule type="cellIs" dxfId="1" priority="5" operator="equal">
      <formula>"Hủy"</formula>
    </cfRule>
    <cfRule type="cellIs" dxfId="0" priority="6" operator="equal">
      <formula>"Hoãn"</formula>
    </cfRule>
  </conditionalFormatting>
  <dataValidations count="4">
    <dataValidation type="date" showErrorMessage="1" error="Nhập ngày hợp lệ (dd/mm/yyyy)." sqref="E7:E206" xr:uid="{00000000-0002-0000-0200-000006000000}">
      <formula1>DATE(2020,1,1)</formula1>
      <formula2>DATE(2035,12,31)</formula2>
    </dataValidation>
    <dataValidation type="custom" showErrorMessage="1" error="Ngày kết thúc phải ≥ ngày bắt đầu." sqref="F7:F206" xr:uid="{00000000-0002-0000-0200-000007000000}">
      <formula1>F7&gt;=E7</formula1>
      <formula2>0</formula2>
    </dataValidation>
    <dataValidation type="decimal" showErrorMessage="1" error="Điểm từ 1 đến 5." sqref="S7:S206" xr:uid="{00000000-0002-0000-0200-000008000000}">
      <formula1>1</formula1>
      <formula2>5</formula2>
    </dataValidation>
    <dataValidation type="whole" operator="greaterThanOrEqual" showErrorMessage="1" error="Nhập số nguyên ≥ 0." sqref="O7:P206" xr:uid="{00000000-0002-0000-0200-000009000000}">
      <formula1>0</formula1>
      <formula2>0</formula2>
    </dataValidation>
  </dataValidations>
  <pageMargins left="0.75" right="0.75" top="1" bottom="1" header="0.511811023622047" footer="0.5"/>
  <pageSetup fitToHeight="0" orientation="landscape" horizontalDpi="300" verticalDpi="300"/>
  <headerFooter>
    <oddFooter>&amp;L&amp;8Vinh Phan | vinhphan.io.vn&amp;R&amp;8Trang &amp;P/&amp;N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00000000-000E-0000-0200-00000C000000}">
            <xm:f>AND(Q7&lt;&gt;"",Q7&lt;'Cài đặt'!$C$14)</xm:f>
            <x14:dxf>
              <font>
                <b/>
                <color rgb="FFC0392B"/>
                <name val="Tahoma"/>
                <charset val="1"/>
              </font>
            </x14:dxf>
          </x14:cfRule>
          <xm:sqref>Q7:Q206</xm:sqref>
        </x14:conditionalFormatting>
        <x14:conditionalFormatting xmlns:xm="http://schemas.microsoft.com/office/excel/2006/main">
          <x14:cfRule type="dataBar" id="{55536EEB-3643-48AB-97C9-3AA33285FAC5}">
            <x14:dataBar axisPosition="none">
              <x14:cfvo type="num">
                <xm:f>1</xm:f>
              </x14:cfvo>
              <x14:cfvo type="num">
                <xm:f>5</xm:f>
              </x14:cfvo>
              <x14:negativeFillColor rgb="FF6CB6B9"/>
            </x14:dataBar>
          </x14:cfRule>
          <xm:sqref>S7:S206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errorTitle="Giá trị không hợp lệ" error="Chọn giá trị trong danh sách (sheet Danh mục)." xr:uid="{00000000-0002-0000-0200-000000000000}">
          <x14:formula1>
            <xm:f>'Danh mục'!$B$7:$B$11</xm:f>
          </x14:formula1>
          <x14:formula2>
            <xm:f>0</xm:f>
          </x14:formula2>
          <xm:sqref>D7:D206</xm:sqref>
        </x14:dataValidation>
        <x14:dataValidation type="list" allowBlank="1" errorTitle="Giá trị không hợp lệ" error="Chọn giá trị trong danh sách (sheet Danh mục)." xr:uid="{00000000-0002-0000-0200-000001000000}">
          <x14:formula1>
            <xm:f>'Danh mục'!$H$7:$H$35</xm:f>
          </x14:formula1>
          <x14:formula2>
            <xm:f>0</xm:f>
          </x14:formula2>
          <xm:sqref>J7:J206</xm:sqref>
        </x14:dataValidation>
        <x14:dataValidation type="list" allowBlank="1" showErrorMessage="1" errorTitle="Giá trị không hợp lệ" error="Chọn giá trị trong danh sách (sheet Danh mục)." xr:uid="{00000000-0002-0000-0200-000002000000}">
          <x14:formula1>
            <xm:f>'Danh mục'!$F$7:$F$10</xm:f>
          </x14:formula1>
          <x14:formula2>
            <xm:f>0</xm:f>
          </x14:formula2>
          <xm:sqref>K7:K206</xm:sqref>
        </x14:dataValidation>
        <x14:dataValidation type="list" allowBlank="1" showErrorMessage="1" errorTitle="Giá trị không hợp lệ" error="Chọn giá trị trong danh sách (sheet Danh mục)." xr:uid="{00000000-0002-0000-0200-000003000000}">
          <x14:formula1>
            <xm:f>'Danh mục'!$E$7:$E$10</xm:f>
          </x14:formula1>
          <x14:formula2>
            <xm:f>0</xm:f>
          </x14:formula2>
          <xm:sqref>L7:L206</xm:sqref>
        </x14:dataValidation>
        <x14:dataValidation type="list" allowBlank="1" showErrorMessage="1" errorTitle="Giá trị không hợp lệ" error="Chọn giá trị trong danh sách (sheet Danh mục)." xr:uid="{00000000-0002-0000-0200-000004000000}">
          <x14:formula1>
            <xm:f>'Danh mục'!$D$7:$D$35</xm:f>
          </x14:formula1>
          <x14:formula2>
            <xm:f>0</xm:f>
          </x14:formula2>
          <xm:sqref>N7:N206</xm:sqref>
        </x14:dataValidation>
        <x14:dataValidation type="list" allowBlank="1" showErrorMessage="1" errorTitle="Giá trị không hợp lệ" error="Chọn giá trị trong danh sách (sheet Danh mục)." xr:uid="{00000000-0002-0000-0200-000005000000}">
          <x14:formula1>
            <xm:f>'Danh mục'!$G$7:$G$8</xm:f>
          </x14:formula1>
          <x14:formula2>
            <xm:f>0</xm:f>
          </x14:formula2>
          <xm:sqref>T7:T206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F8C8D"/>
    <pageSetUpPr fitToPage="1"/>
  </sheetPr>
  <dimension ref="A1:H38"/>
  <sheetViews>
    <sheetView showGridLines="0" zoomScaleNormal="100" workbookViewId="0"/>
  </sheetViews>
  <sheetFormatPr defaultColWidth="8.7109375" defaultRowHeight="15" x14ac:dyDescent="0.25"/>
  <cols>
    <col min="1" max="1" width="2" customWidth="1"/>
    <col min="2" max="2" width="22" customWidth="1"/>
    <col min="3" max="3" width="16" customWidth="1"/>
    <col min="4" max="8" width="22" customWidth="1"/>
  </cols>
  <sheetData>
    <row r="1" spans="1:8" ht="33.75" customHeight="1" x14ac:dyDescent="0.4">
      <c r="A1" s="2"/>
      <c r="B1" s="2"/>
      <c r="C1" s="3" t="s">
        <v>212</v>
      </c>
      <c r="D1" s="2"/>
      <c r="E1" s="2"/>
      <c r="F1" s="2"/>
      <c r="G1" s="2"/>
      <c r="H1" s="2"/>
    </row>
    <row r="2" spans="1:8" ht="21.75" customHeight="1" x14ac:dyDescent="0.25">
      <c r="A2" s="2"/>
      <c r="B2" s="2"/>
      <c r="C2" s="4" t="str">
        <f>'Cài đặt'!$C$7&amp;"  |  "&amp;'Cài đặt'!$C$8</f>
        <v>CÔNG TY CỔ PHẦN DƯỢC PHẨM ABC  |  Phòng Đào tạo &amp; Phát triển (L&amp;D)</v>
      </c>
      <c r="D2" s="2"/>
      <c r="E2" s="2"/>
      <c r="F2" s="2"/>
      <c r="G2" s="2"/>
      <c r="H2" s="2"/>
    </row>
    <row r="3" spans="1:8" ht="24" customHeight="1" x14ac:dyDescent="0.25">
      <c r="A3" s="2"/>
      <c r="B3" s="2"/>
      <c r="C3" s="5" t="s">
        <v>2</v>
      </c>
      <c r="D3" s="2"/>
      <c r="E3" s="2"/>
      <c r="F3" s="2"/>
      <c r="G3" s="2"/>
      <c r="H3" s="2"/>
    </row>
    <row r="4" spans="1:8" ht="3.75" customHeight="1" x14ac:dyDescent="0.25">
      <c r="A4" s="6"/>
      <c r="B4" s="6"/>
      <c r="C4" s="6"/>
      <c r="D4" s="6"/>
      <c r="E4" s="6"/>
      <c r="F4" s="6"/>
      <c r="G4" s="6"/>
      <c r="H4" s="6"/>
    </row>
    <row r="6" spans="1:8" ht="24" customHeight="1" x14ac:dyDescent="0.25">
      <c r="B6" s="9" t="s">
        <v>213</v>
      </c>
      <c r="C6" s="9" t="s">
        <v>214</v>
      </c>
      <c r="D6" s="9" t="s">
        <v>61</v>
      </c>
      <c r="E6" s="9" t="s">
        <v>19</v>
      </c>
      <c r="F6" s="9" t="s">
        <v>93</v>
      </c>
      <c r="G6" s="9" t="s">
        <v>215</v>
      </c>
      <c r="H6" s="9" t="s">
        <v>17</v>
      </c>
    </row>
    <row r="7" spans="1:8" x14ac:dyDescent="0.25">
      <c r="B7" s="78" t="s">
        <v>68</v>
      </c>
      <c r="C7" s="79" t="s">
        <v>68</v>
      </c>
      <c r="D7" s="78" t="s">
        <v>125</v>
      </c>
      <c r="E7" s="78" t="s">
        <v>49</v>
      </c>
      <c r="F7" s="78" t="s">
        <v>38</v>
      </c>
      <c r="G7" s="78" t="s">
        <v>197</v>
      </c>
      <c r="H7" s="78" t="s">
        <v>179</v>
      </c>
    </row>
    <row r="8" spans="1:8" x14ac:dyDescent="0.25">
      <c r="B8" s="78" t="s">
        <v>69</v>
      </c>
      <c r="C8" s="80" t="s">
        <v>69</v>
      </c>
      <c r="D8" s="78" t="s">
        <v>116</v>
      </c>
      <c r="E8" s="78" t="s">
        <v>51</v>
      </c>
      <c r="F8" s="78" t="s">
        <v>40</v>
      </c>
      <c r="G8" s="78" t="s">
        <v>140</v>
      </c>
      <c r="H8" s="78" t="s">
        <v>114</v>
      </c>
    </row>
    <row r="9" spans="1:8" x14ac:dyDescent="0.25">
      <c r="B9" s="78" t="s">
        <v>70</v>
      </c>
      <c r="C9" s="81" t="s">
        <v>70</v>
      </c>
      <c r="D9" s="78" t="s">
        <v>129</v>
      </c>
      <c r="E9" s="78" t="s">
        <v>53</v>
      </c>
      <c r="F9" s="78"/>
      <c r="G9" s="78"/>
      <c r="H9" s="78" t="s">
        <v>216</v>
      </c>
    </row>
    <row r="10" spans="1:8" x14ac:dyDescent="0.25">
      <c r="B10" s="78" t="s">
        <v>71</v>
      </c>
      <c r="C10" s="82" t="s">
        <v>71</v>
      </c>
      <c r="D10" s="78" t="s">
        <v>121</v>
      </c>
      <c r="E10" s="78"/>
      <c r="F10" s="78"/>
      <c r="G10" s="78"/>
      <c r="H10" s="78" t="s">
        <v>150</v>
      </c>
    </row>
    <row r="11" spans="1:8" x14ac:dyDescent="0.25">
      <c r="B11" s="78" t="s">
        <v>72</v>
      </c>
      <c r="C11" s="83" t="s">
        <v>72</v>
      </c>
      <c r="D11" s="78" t="s">
        <v>147</v>
      </c>
      <c r="E11" s="78"/>
      <c r="F11" s="78"/>
      <c r="G11" s="78"/>
      <c r="H11" s="78" t="s">
        <v>109</v>
      </c>
    </row>
    <row r="12" spans="1:8" x14ac:dyDescent="0.25">
      <c r="B12" s="78" t="s">
        <v>217</v>
      </c>
      <c r="C12" s="84" t="s">
        <v>73</v>
      </c>
      <c r="D12" s="78" t="s">
        <v>139</v>
      </c>
      <c r="E12" s="78"/>
      <c r="F12" s="78"/>
      <c r="G12" s="78"/>
      <c r="H12" s="78" t="s">
        <v>124</v>
      </c>
    </row>
    <row r="13" spans="1:8" x14ac:dyDescent="0.25">
      <c r="B13" s="78"/>
      <c r="C13" s="85"/>
      <c r="D13" s="78" t="s">
        <v>111</v>
      </c>
      <c r="E13" s="78"/>
      <c r="F13" s="78"/>
      <c r="G13" s="78"/>
      <c r="H13" s="78" t="s">
        <v>279</v>
      </c>
    </row>
    <row r="14" spans="1:8" x14ac:dyDescent="0.25">
      <c r="B14" s="78"/>
      <c r="C14" s="85"/>
      <c r="D14" s="78" t="s">
        <v>164</v>
      </c>
      <c r="E14" s="78"/>
      <c r="F14" s="78"/>
      <c r="G14" s="78"/>
      <c r="H14" s="78" t="s">
        <v>285</v>
      </c>
    </row>
    <row r="15" spans="1:8" x14ac:dyDescent="0.25">
      <c r="B15" s="78"/>
      <c r="C15" s="85"/>
      <c r="D15" s="78" t="s">
        <v>144</v>
      </c>
      <c r="E15" s="78"/>
      <c r="F15" s="78"/>
      <c r="G15" s="78"/>
      <c r="H15" s="78" t="s">
        <v>281</v>
      </c>
    </row>
    <row r="16" spans="1:8" x14ac:dyDescent="0.25">
      <c r="B16" s="78"/>
      <c r="C16" s="85"/>
      <c r="D16" s="78" t="s">
        <v>133</v>
      </c>
      <c r="E16" s="78"/>
      <c r="F16" s="78"/>
      <c r="G16" s="78"/>
      <c r="H16" s="78" t="s">
        <v>287</v>
      </c>
    </row>
    <row r="17" spans="2:8" x14ac:dyDescent="0.25">
      <c r="B17" s="78"/>
      <c r="C17" s="85"/>
      <c r="D17" s="78"/>
      <c r="E17" s="78"/>
      <c r="F17" s="78"/>
      <c r="G17" s="78"/>
      <c r="H17" s="78" t="s">
        <v>292</v>
      </c>
    </row>
    <row r="18" spans="2:8" x14ac:dyDescent="0.25">
      <c r="B18" s="78"/>
      <c r="C18" s="85"/>
      <c r="D18" s="78"/>
      <c r="E18" s="78"/>
      <c r="F18" s="78"/>
      <c r="G18" s="78"/>
      <c r="H18" s="78"/>
    </row>
    <row r="19" spans="2:8" x14ac:dyDescent="0.25">
      <c r="B19" s="78"/>
      <c r="C19" s="85"/>
      <c r="D19" s="78"/>
      <c r="E19" s="78"/>
      <c r="F19" s="78"/>
      <c r="G19" s="78"/>
      <c r="H19" s="78"/>
    </row>
    <row r="20" spans="2:8" x14ac:dyDescent="0.25">
      <c r="B20" s="78"/>
      <c r="C20" s="85"/>
      <c r="D20" s="78"/>
      <c r="E20" s="78"/>
      <c r="F20" s="78"/>
      <c r="G20" s="78"/>
      <c r="H20" s="78"/>
    </row>
    <row r="21" spans="2:8" x14ac:dyDescent="0.25">
      <c r="B21" s="78"/>
      <c r="C21" s="85"/>
      <c r="D21" s="78"/>
      <c r="E21" s="78"/>
      <c r="F21" s="78"/>
      <c r="G21" s="78"/>
      <c r="H21" s="78"/>
    </row>
    <row r="22" spans="2:8" x14ac:dyDescent="0.25">
      <c r="B22" s="78"/>
      <c r="C22" s="85"/>
      <c r="D22" s="78"/>
      <c r="E22" s="78"/>
      <c r="F22" s="78"/>
      <c r="G22" s="78"/>
      <c r="H22" s="78"/>
    </row>
    <row r="23" spans="2:8" x14ac:dyDescent="0.25">
      <c r="B23" s="78"/>
      <c r="C23" s="85"/>
      <c r="D23" s="78"/>
      <c r="E23" s="78"/>
      <c r="F23" s="78"/>
      <c r="G23" s="78"/>
      <c r="H23" s="78"/>
    </row>
    <row r="24" spans="2:8" x14ac:dyDescent="0.25">
      <c r="B24" s="78"/>
      <c r="C24" s="85"/>
      <c r="D24" s="78"/>
      <c r="E24" s="78"/>
      <c r="F24" s="78"/>
      <c r="G24" s="78"/>
      <c r="H24" s="78"/>
    </row>
    <row r="25" spans="2:8" x14ac:dyDescent="0.25">
      <c r="B25" s="78"/>
      <c r="C25" s="85"/>
      <c r="D25" s="78"/>
      <c r="E25" s="78"/>
      <c r="F25" s="78"/>
      <c r="G25" s="78"/>
      <c r="H25" s="78"/>
    </row>
    <row r="26" spans="2:8" x14ac:dyDescent="0.25">
      <c r="B26" s="78"/>
      <c r="C26" s="85"/>
      <c r="D26" s="78"/>
      <c r="E26" s="78"/>
      <c r="F26" s="78"/>
      <c r="G26" s="78"/>
      <c r="H26" s="78"/>
    </row>
    <row r="27" spans="2:8" x14ac:dyDescent="0.25">
      <c r="B27" s="78"/>
      <c r="C27" s="85"/>
      <c r="D27" s="78"/>
      <c r="E27" s="78"/>
      <c r="F27" s="78"/>
      <c r="G27" s="78"/>
      <c r="H27" s="78"/>
    </row>
    <row r="28" spans="2:8" x14ac:dyDescent="0.25">
      <c r="B28" s="78"/>
      <c r="C28" s="85"/>
      <c r="D28" s="78"/>
      <c r="E28" s="78"/>
      <c r="F28" s="78"/>
      <c r="G28" s="78"/>
      <c r="H28" s="78"/>
    </row>
    <row r="29" spans="2:8" x14ac:dyDescent="0.25">
      <c r="B29" s="78"/>
      <c r="C29" s="85"/>
      <c r="D29" s="78"/>
      <c r="E29" s="78"/>
      <c r="F29" s="78"/>
      <c r="G29" s="78"/>
      <c r="H29" s="78"/>
    </row>
    <row r="30" spans="2:8" x14ac:dyDescent="0.25">
      <c r="B30" s="78"/>
      <c r="C30" s="85"/>
      <c r="D30" s="78"/>
      <c r="E30" s="78"/>
      <c r="F30" s="78"/>
      <c r="G30" s="78"/>
      <c r="H30" s="78"/>
    </row>
    <row r="31" spans="2:8" x14ac:dyDescent="0.25">
      <c r="B31" s="78"/>
      <c r="C31" s="85"/>
      <c r="D31" s="78"/>
      <c r="E31" s="78"/>
      <c r="F31" s="78"/>
      <c r="G31" s="78"/>
      <c r="H31" s="78"/>
    </row>
    <row r="32" spans="2:8" x14ac:dyDescent="0.25">
      <c r="B32" s="78"/>
      <c r="C32" s="85"/>
      <c r="D32" s="78"/>
      <c r="E32" s="78"/>
      <c r="F32" s="78"/>
      <c r="G32" s="78"/>
      <c r="H32" s="78"/>
    </row>
    <row r="33" spans="2:8" x14ac:dyDescent="0.25">
      <c r="B33" s="78"/>
      <c r="C33" s="85"/>
      <c r="D33" s="78"/>
      <c r="E33" s="78"/>
      <c r="F33" s="78"/>
      <c r="G33" s="78"/>
      <c r="H33" s="78"/>
    </row>
    <row r="34" spans="2:8" x14ac:dyDescent="0.25">
      <c r="B34" s="78"/>
      <c r="C34" s="85"/>
      <c r="D34" s="78"/>
      <c r="E34" s="78"/>
      <c r="F34" s="78"/>
      <c r="G34" s="78"/>
      <c r="H34" s="78"/>
    </row>
    <row r="35" spans="2:8" x14ac:dyDescent="0.25">
      <c r="B35" s="78"/>
      <c r="C35" s="85"/>
      <c r="D35" s="78"/>
      <c r="E35" s="78"/>
      <c r="F35" s="78"/>
      <c r="G35" s="78"/>
      <c r="H35" s="78"/>
    </row>
    <row r="38" spans="2:8" x14ac:dyDescent="0.25">
      <c r="B38" s="61" t="s">
        <v>218</v>
      </c>
    </row>
  </sheetData>
  <pageMargins left="0.75" right="0.75" top="1" bottom="1" header="0.511811023622047" footer="0.5"/>
  <pageSetup fitToHeight="0" orientation="landscape" horizontalDpi="300" verticalDpi="300"/>
  <headerFooter>
    <oddFooter>&amp;L&amp;8Vinh Phan | vinhphan.io.vn&amp;R&amp;8Trang 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4A017"/>
    <pageSetUpPr fitToPage="1"/>
  </sheetPr>
  <dimension ref="A1:I27"/>
  <sheetViews>
    <sheetView showGridLines="0" zoomScaleNormal="100" workbookViewId="0">
      <pane ySplit="4" topLeftCell="A11" activePane="bottomLeft" state="frozen"/>
      <selection pane="bottomLeft" activeCell="F27" sqref="F27"/>
    </sheetView>
  </sheetViews>
  <sheetFormatPr defaultColWidth="8.7109375" defaultRowHeight="15" x14ac:dyDescent="0.25"/>
  <cols>
    <col min="1" max="1" width="2" customWidth="1"/>
    <col min="2" max="2" width="30" customWidth="1"/>
    <col min="3" max="3" width="36" customWidth="1"/>
    <col min="4" max="4" width="4" customWidth="1"/>
    <col min="5" max="9" width="12" customWidth="1"/>
  </cols>
  <sheetData>
    <row r="1" spans="1:9" ht="33.75" customHeight="1" x14ac:dyDescent="0.4">
      <c r="A1" s="2"/>
      <c r="B1" s="2"/>
      <c r="C1" s="3" t="s">
        <v>219</v>
      </c>
      <c r="D1" s="2"/>
      <c r="E1" s="2"/>
      <c r="F1" s="2"/>
      <c r="G1" s="2"/>
      <c r="H1" s="2"/>
      <c r="I1" s="2"/>
    </row>
    <row r="2" spans="1:9" ht="21.75" customHeight="1" x14ac:dyDescent="0.25">
      <c r="A2" s="2"/>
      <c r="B2" s="2"/>
      <c r="C2" s="4" t="str">
        <f>'Cài đặt'!$C$7&amp;"  |  "&amp;'Cài đặt'!$C$8</f>
        <v>CÔNG TY CỔ PHẦN DƯỢC PHẨM ABC  |  Phòng Đào tạo &amp; Phát triển (L&amp;D)</v>
      </c>
      <c r="D2" s="2"/>
      <c r="E2" s="2"/>
      <c r="F2" s="2"/>
      <c r="G2" s="2"/>
      <c r="H2" s="2"/>
      <c r="I2" s="2"/>
    </row>
    <row r="3" spans="1:9" ht="24" customHeight="1" x14ac:dyDescent="0.25">
      <c r="A3" s="2"/>
      <c r="B3" s="2"/>
      <c r="C3" s="5" t="s">
        <v>2</v>
      </c>
      <c r="D3" s="2"/>
      <c r="E3" s="2"/>
      <c r="F3" s="2"/>
      <c r="G3" s="2"/>
      <c r="H3" s="2"/>
      <c r="I3" s="2"/>
    </row>
    <row r="4" spans="1:9" ht="3.75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6" spans="1:9" x14ac:dyDescent="0.25">
      <c r="B6" s="7" t="s">
        <v>220</v>
      </c>
      <c r="C6" s="8"/>
      <c r="E6" s="7" t="s">
        <v>221</v>
      </c>
      <c r="F6" s="8"/>
      <c r="G6" s="8"/>
      <c r="H6" s="8"/>
      <c r="I6" s="8"/>
    </row>
    <row r="7" spans="1:9" ht="21.75" customHeight="1" x14ac:dyDescent="0.25">
      <c r="B7" s="86" t="s">
        <v>222</v>
      </c>
      <c r="C7" s="87" t="s">
        <v>223</v>
      </c>
      <c r="E7" s="88"/>
      <c r="F7" s="88"/>
      <c r="G7" s="88"/>
      <c r="H7" s="88"/>
      <c r="I7" s="88"/>
    </row>
    <row r="8" spans="1:9" ht="21.75" customHeight="1" x14ac:dyDescent="0.25">
      <c r="B8" s="86" t="s">
        <v>224</v>
      </c>
      <c r="C8" s="87" t="s">
        <v>225</v>
      </c>
      <c r="E8" s="88"/>
      <c r="F8" s="88"/>
      <c r="G8" s="88"/>
      <c r="H8" s="88"/>
      <c r="I8" s="88"/>
    </row>
    <row r="9" spans="1:9" x14ac:dyDescent="0.25">
      <c r="E9" s="88"/>
      <c r="F9" s="88"/>
      <c r="G9" s="88"/>
      <c r="H9" s="88"/>
      <c r="I9" s="88"/>
    </row>
    <row r="10" spans="1:9" x14ac:dyDescent="0.25">
      <c r="E10" s="88"/>
      <c r="F10" s="88"/>
      <c r="G10" s="88"/>
      <c r="H10" s="88"/>
      <c r="I10" s="88"/>
    </row>
    <row r="11" spans="1:9" x14ac:dyDescent="0.25">
      <c r="B11" s="7" t="s">
        <v>226</v>
      </c>
      <c r="C11" s="8"/>
      <c r="E11" s="88"/>
      <c r="F11" s="88"/>
      <c r="G11" s="88"/>
      <c r="H11" s="88"/>
      <c r="I11" s="88"/>
    </row>
    <row r="12" spans="1:9" ht="21.75" customHeight="1" x14ac:dyDescent="0.25">
      <c r="B12" s="86" t="s">
        <v>227</v>
      </c>
      <c r="C12" s="89">
        <v>850</v>
      </c>
      <c r="E12" s="88"/>
      <c r="F12" s="88"/>
      <c r="G12" s="88"/>
      <c r="H12" s="88"/>
      <c r="I12" s="88"/>
    </row>
    <row r="13" spans="1:9" ht="21.75" customHeight="1" x14ac:dyDescent="0.25">
      <c r="B13" s="86" t="s">
        <v>228</v>
      </c>
      <c r="C13" s="90">
        <v>16</v>
      </c>
      <c r="E13" s="88"/>
      <c r="F13" s="88"/>
      <c r="G13" s="88"/>
      <c r="H13" s="88"/>
      <c r="I13" s="88"/>
    </row>
    <row r="14" spans="1:9" ht="21.75" customHeight="1" x14ac:dyDescent="0.25">
      <c r="B14" s="86" t="s">
        <v>229</v>
      </c>
      <c r="C14" s="91">
        <v>0.9</v>
      </c>
      <c r="E14" s="88"/>
      <c r="F14" s="88"/>
      <c r="G14" s="88"/>
      <c r="H14" s="88"/>
      <c r="I14" s="88"/>
    </row>
    <row r="15" spans="1:9" ht="21.75" customHeight="1" x14ac:dyDescent="0.25">
      <c r="B15" s="86" t="s">
        <v>230</v>
      </c>
      <c r="C15" s="90">
        <v>4.2</v>
      </c>
      <c r="E15" s="88"/>
      <c r="F15" s="88"/>
      <c r="G15" s="88"/>
      <c r="H15" s="88"/>
      <c r="I15" s="88"/>
    </row>
    <row r="17" spans="2:5" x14ac:dyDescent="0.25">
      <c r="E17" s="92" t="s">
        <v>231</v>
      </c>
    </row>
    <row r="18" spans="2:5" x14ac:dyDescent="0.25">
      <c r="B18" s="7" t="s">
        <v>232</v>
      </c>
      <c r="C18" s="8"/>
      <c r="E18" s="93" t="s">
        <v>233</v>
      </c>
    </row>
    <row r="19" spans="2:5" ht="21.75" customHeight="1" x14ac:dyDescent="0.25">
      <c r="B19" s="9" t="s">
        <v>102</v>
      </c>
      <c r="C19" s="9" t="s">
        <v>234</v>
      </c>
      <c r="E19" s="93" t="s">
        <v>235</v>
      </c>
    </row>
    <row r="20" spans="2:5" x14ac:dyDescent="0.25">
      <c r="B20" s="94">
        <v>2025</v>
      </c>
      <c r="C20" s="95">
        <v>300000000</v>
      </c>
      <c r="E20" s="93" t="s">
        <v>236</v>
      </c>
    </row>
    <row r="21" spans="2:5" x14ac:dyDescent="0.25">
      <c r="B21" s="94">
        <v>2026</v>
      </c>
      <c r="C21" s="95">
        <v>350000000</v>
      </c>
      <c r="E21" s="93" t="s">
        <v>237</v>
      </c>
    </row>
    <row r="22" spans="2:5" x14ac:dyDescent="0.25">
      <c r="B22" s="94">
        <v>2027</v>
      </c>
      <c r="C22" s="95">
        <v>400000000</v>
      </c>
      <c r="E22" s="93" t="s">
        <v>238</v>
      </c>
    </row>
    <row r="23" spans="2:5" x14ac:dyDescent="0.25">
      <c r="B23" s="94">
        <v>2028</v>
      </c>
      <c r="C23" s="95">
        <v>420000000</v>
      </c>
      <c r="E23" s="93" t="s">
        <v>239</v>
      </c>
    </row>
    <row r="24" spans="2:5" x14ac:dyDescent="0.25">
      <c r="B24" s="94">
        <v>2029</v>
      </c>
      <c r="C24" s="95">
        <v>450000000</v>
      </c>
    </row>
    <row r="25" spans="2:5" x14ac:dyDescent="0.25">
      <c r="B25" s="94">
        <v>2030</v>
      </c>
      <c r="C25" s="95">
        <v>480000000</v>
      </c>
    </row>
    <row r="27" spans="2:5" x14ac:dyDescent="0.25">
      <c r="B27" s="61" t="s">
        <v>240</v>
      </c>
    </row>
  </sheetData>
  <pageMargins left="0.75" right="0.75" top="1" bottom="1" header="0.511811023622047" footer="0.5"/>
  <pageSetup fitToHeight="0" orientation="landscape" horizontalDpi="300" verticalDpi="300"/>
  <headerFooter>
    <oddFooter>&amp;L&amp;8Vinh Phan | vinhphan.io.vn&amp;R&amp;8Trang 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F8C8D"/>
    <pageSetUpPr fitToPage="1"/>
  </sheetPr>
  <dimension ref="A1:E31"/>
  <sheetViews>
    <sheetView showGridLines="0" zoomScaleNormal="100" workbookViewId="0">
      <selection activeCell="D10" sqref="D10"/>
    </sheetView>
  </sheetViews>
  <sheetFormatPr defaultColWidth="8.7109375" defaultRowHeight="15" x14ac:dyDescent="0.25"/>
  <cols>
    <col min="1" max="1" width="2" customWidth="1"/>
    <col min="2" max="2" width="11.42578125" customWidth="1"/>
    <col min="3" max="3" width="22" customWidth="1"/>
    <col min="4" max="4" width="100" customWidth="1"/>
  </cols>
  <sheetData>
    <row r="1" spans="1:5" ht="33.75" customHeight="1" x14ac:dyDescent="0.4">
      <c r="A1" s="2"/>
      <c r="B1" s="2"/>
      <c r="C1" s="3" t="s">
        <v>241</v>
      </c>
      <c r="D1" s="2"/>
      <c r="E1" s="2"/>
    </row>
    <row r="2" spans="1:5" ht="21.75" customHeight="1" x14ac:dyDescent="0.25">
      <c r="A2" s="2"/>
      <c r="B2" s="2"/>
      <c r="C2" s="4" t="str">
        <f>'Cài đặt'!$C$7&amp;"  |  "&amp;'Cài đặt'!$C$8</f>
        <v>CÔNG TY CỔ PHẦN DƯỢC PHẨM ABC  |  Phòng Đào tạo &amp; Phát triển (L&amp;D)</v>
      </c>
      <c r="D2" s="2"/>
      <c r="E2" s="2"/>
    </row>
    <row r="3" spans="1:5" ht="24" customHeight="1" x14ac:dyDescent="0.25">
      <c r="A3" s="2"/>
      <c r="B3" s="2"/>
      <c r="C3" s="5" t="s">
        <v>2</v>
      </c>
      <c r="D3" s="2"/>
      <c r="E3" s="2"/>
    </row>
    <row r="4" spans="1:5" ht="3.75" customHeight="1" x14ac:dyDescent="0.25">
      <c r="A4" s="6"/>
      <c r="B4" s="6"/>
      <c r="C4" s="6"/>
      <c r="D4" s="6"/>
      <c r="E4" s="6"/>
    </row>
    <row r="6" spans="1:5" ht="25.5" customHeight="1" x14ac:dyDescent="0.25">
      <c r="B6" s="7" t="s">
        <v>242</v>
      </c>
      <c r="C6" s="8"/>
      <c r="D6" s="8"/>
    </row>
    <row r="7" spans="1:5" ht="30" customHeight="1" x14ac:dyDescent="0.25">
      <c r="B7" s="96" t="s">
        <v>243</v>
      </c>
      <c r="C7" s="97" t="s">
        <v>244</v>
      </c>
      <c r="D7" s="98" t="s">
        <v>245</v>
      </c>
    </row>
    <row r="8" spans="1:5" ht="30" customHeight="1" x14ac:dyDescent="0.25">
      <c r="B8" s="96" t="s">
        <v>246</v>
      </c>
      <c r="C8" s="97" t="s">
        <v>247</v>
      </c>
      <c r="D8" s="98" t="s">
        <v>248</v>
      </c>
    </row>
    <row r="9" spans="1:5" ht="30" customHeight="1" x14ac:dyDescent="0.25">
      <c r="B9" s="96" t="s">
        <v>249</v>
      </c>
      <c r="C9" s="97" t="s">
        <v>250</v>
      </c>
      <c r="D9" s="98" t="s">
        <v>251</v>
      </c>
    </row>
    <row r="10" spans="1:5" ht="30" customHeight="1" x14ac:dyDescent="0.25">
      <c r="B10" s="96" t="s">
        <v>252</v>
      </c>
      <c r="C10" s="97" t="s">
        <v>253</v>
      </c>
      <c r="D10" s="98" t="s">
        <v>254</v>
      </c>
    </row>
    <row r="12" spans="1:5" ht="25.5" customHeight="1" x14ac:dyDescent="0.25">
      <c r="B12" s="7" t="s">
        <v>255</v>
      </c>
      <c r="C12" s="8"/>
      <c r="D12" s="8"/>
    </row>
    <row r="13" spans="1:5" ht="30" customHeight="1" x14ac:dyDescent="0.25">
      <c r="B13" s="96"/>
      <c r="C13" s="97" t="s">
        <v>256</v>
      </c>
      <c r="D13" s="98" t="s">
        <v>257</v>
      </c>
    </row>
    <row r="14" spans="1:5" ht="30" customHeight="1" x14ac:dyDescent="0.25">
      <c r="B14" s="96"/>
      <c r="C14" s="97" t="s">
        <v>258</v>
      </c>
      <c r="D14" s="98" t="s">
        <v>259</v>
      </c>
    </row>
    <row r="15" spans="1:5" ht="30" customHeight="1" x14ac:dyDescent="0.25">
      <c r="B15" s="96"/>
      <c r="C15" s="97" t="s">
        <v>250</v>
      </c>
      <c r="D15" s="98" t="s">
        <v>260</v>
      </c>
    </row>
    <row r="16" spans="1:5" ht="30" customHeight="1" x14ac:dyDescent="0.25">
      <c r="B16" s="96"/>
      <c r="C16" s="97" t="s">
        <v>261</v>
      </c>
      <c r="D16" s="98" t="s">
        <v>262</v>
      </c>
    </row>
    <row r="18" spans="2:4" ht="25.5" customHeight="1" x14ac:dyDescent="0.25">
      <c r="B18" s="7" t="s">
        <v>263</v>
      </c>
      <c r="C18" s="8"/>
      <c r="D18" s="8"/>
    </row>
    <row r="19" spans="2:4" ht="30" customHeight="1" x14ac:dyDescent="0.25">
      <c r="B19" s="96"/>
      <c r="C19" s="97" t="s">
        <v>76</v>
      </c>
      <c r="D19" s="98" t="s">
        <v>264</v>
      </c>
    </row>
    <row r="20" spans="2:4" ht="30" customHeight="1" x14ac:dyDescent="0.25">
      <c r="B20" s="96"/>
      <c r="C20" s="97" t="s">
        <v>265</v>
      </c>
      <c r="D20" s="98" t="s">
        <v>266</v>
      </c>
    </row>
    <row r="21" spans="2:4" ht="30" customHeight="1" x14ac:dyDescent="0.25">
      <c r="B21" s="96"/>
      <c r="C21" s="97" t="s">
        <v>62</v>
      </c>
      <c r="D21" s="98" t="s">
        <v>267</v>
      </c>
    </row>
    <row r="22" spans="2:4" ht="30" customHeight="1" x14ac:dyDescent="0.25">
      <c r="B22" s="96"/>
      <c r="C22" s="97" t="s">
        <v>268</v>
      </c>
      <c r="D22" s="98" t="s">
        <v>269</v>
      </c>
    </row>
    <row r="23" spans="2:4" ht="30" customHeight="1" x14ac:dyDescent="0.25">
      <c r="B23" s="96"/>
      <c r="C23" s="97" t="s">
        <v>270</v>
      </c>
      <c r="D23" s="98" t="s">
        <v>271</v>
      </c>
    </row>
    <row r="24" spans="2:4" ht="30" customHeight="1" x14ac:dyDescent="0.25">
      <c r="B24" s="96"/>
      <c r="C24" s="97" t="s">
        <v>272</v>
      </c>
      <c r="D24" s="98" t="s">
        <v>273</v>
      </c>
    </row>
    <row r="26" spans="2:4" ht="25.5" customHeight="1" x14ac:dyDescent="0.25">
      <c r="B26" s="7" t="s">
        <v>274</v>
      </c>
      <c r="C26" s="8"/>
      <c r="D26" s="8"/>
    </row>
    <row r="27" spans="2:4" ht="30" customHeight="1" x14ac:dyDescent="0.25">
      <c r="B27" s="96"/>
      <c r="C27" s="97" t="s">
        <v>275</v>
      </c>
      <c r="D27" s="98" t="s">
        <v>276</v>
      </c>
    </row>
    <row r="28" spans="2:4" ht="30" customHeight="1" x14ac:dyDescent="0.25">
      <c r="B28" s="96"/>
      <c r="C28" s="97" t="s">
        <v>277</v>
      </c>
      <c r="D28" s="98" t="s">
        <v>278</v>
      </c>
    </row>
    <row r="31" spans="2:4" x14ac:dyDescent="0.25">
      <c r="B31" s="126" t="s">
        <v>2</v>
      </c>
      <c r="C31" s="126"/>
      <c r="D31" s="126"/>
    </row>
  </sheetData>
  <mergeCells count="1">
    <mergeCell ref="B31:D31"/>
  </mergeCells>
  <pageMargins left="0.75" right="0.75" top="1" bottom="1" header="0.511811023622047" footer="0.5"/>
  <pageSetup fitToHeight="0" orientation="landscape" horizontalDpi="300" verticalDpi="300"/>
  <headerFooter>
    <oddFooter>&amp;L&amp;8Vinh Phan | vinhphan.io.vn&amp;R&amp;8Trang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Dashboard</vt:lpstr>
      <vt:lpstr>Lịch</vt:lpstr>
      <vt:lpstr>Data</vt:lpstr>
      <vt:lpstr>Danh mục</vt:lpstr>
      <vt:lpstr>Cài đặt</vt:lpstr>
      <vt:lpstr>Hướng dẫn</vt:lpstr>
      <vt:lpstr>Dashboard!Print_Area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đào tạo &amp; Dashboard L&amp;D · vinhphan.io.vn</dc:title>
  <dc:subject/>
  <dc:creator>Vinh Phan</dc:creator>
  <dc:description/>
  <cp:lastModifiedBy>Vinh Phan</cp:lastModifiedBy>
  <dcterms:created xsi:type="dcterms:W3CDTF">2026-03-01T02:15:00Z</dcterms:created>
  <dcterms:modified xsi:type="dcterms:W3CDTF">2026-10-20T04:29:36Z</dcterms:modified>
  <dc:language>vi-VN</dc:language>
</cp:coreProperties>
</file>